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3par\Fredirect\Quota1\mir1\Desktop\"/>
    </mc:Choice>
  </mc:AlternateContent>
  <xr:revisionPtr revIDLastSave="0" documentId="13_ncr:1_{E1238308-0973-41D6-98BE-2B29A324432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4_rom" sheetId="2" r:id="rId1"/>
    <sheet name="2024_eng" sheetId="1" r:id="rId2"/>
    <sheet name="2024_rus" sheetId="3" r:id="rId3"/>
    <sheet name="Grafice" sheetId="4" r:id="rId4"/>
  </sheets>
  <externalReferences>
    <externalReference r:id="rId5"/>
    <externalReference r:id="rId6"/>
  </externalReferences>
  <definedNames>
    <definedName name="_xlnm.Print_Area" localSheetId="1">'2024_eng'!$A$1:$F$33</definedName>
    <definedName name="_xlnm.Print_Area" localSheetId="0">'2024_rom'!$A$1:$F$33</definedName>
    <definedName name="_xlnm.Print_Area" localSheetId="2">'2024_rus'!$A$1:$F$33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28" i="2"/>
  <c r="D27" i="2"/>
  <c r="B31" i="2" l="1"/>
  <c r="D30" i="3"/>
  <c r="D29" i="3"/>
  <c r="D28" i="3"/>
  <c r="D27" i="3"/>
  <c r="D26" i="3"/>
  <c r="D30" i="1"/>
  <c r="D29" i="1"/>
  <c r="D28" i="1"/>
  <c r="D27" i="1"/>
  <c r="D26" i="1"/>
  <c r="D30" i="2"/>
  <c r="D26" i="2"/>
  <c r="F26" i="2" s="1"/>
  <c r="D31" i="2" l="1"/>
  <c r="F30" i="3"/>
  <c r="D24" i="3"/>
  <c r="F24" i="3" s="1"/>
  <c r="D23" i="3"/>
  <c r="D22" i="3"/>
  <c r="D21" i="3"/>
  <c r="F30" i="1"/>
  <c r="D24" i="1"/>
  <c r="D23" i="1"/>
  <c r="D22" i="1"/>
  <c r="F22" i="1" s="1"/>
  <c r="D21" i="1"/>
  <c r="F21" i="1" s="1"/>
  <c r="F27" i="2"/>
  <c r="D22" i="2"/>
  <c r="B18" i="3"/>
  <c r="B18" i="1"/>
  <c r="B18" i="2"/>
  <c r="B31" i="3"/>
  <c r="F29" i="3"/>
  <c r="F28" i="3"/>
  <c r="F27" i="3"/>
  <c r="F26" i="3"/>
  <c r="B25" i="3"/>
  <c r="B33" i="3" s="1"/>
  <c r="F23" i="3"/>
  <c r="F22" i="3"/>
  <c r="D19" i="3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B31" i="1"/>
  <c r="F29" i="1"/>
  <c r="F28" i="1"/>
  <c r="F27" i="1"/>
  <c r="F26" i="1"/>
  <c r="B25" i="1"/>
  <c r="F24" i="1"/>
  <c r="F23" i="1"/>
  <c r="D19" i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24" i="2"/>
  <c r="F28" i="2"/>
  <c r="F30" i="2"/>
  <c r="D25" i="3" l="1"/>
  <c r="C25" i="3"/>
  <c r="C24" i="3" s="1"/>
  <c r="D18" i="3"/>
  <c r="E15" i="3" s="1"/>
  <c r="C18" i="3"/>
  <c r="C12" i="3" s="1"/>
  <c r="E23" i="3"/>
  <c r="C31" i="3"/>
  <c r="C30" i="3" s="1"/>
  <c r="F9" i="3"/>
  <c r="F18" i="3" s="1"/>
  <c r="B33" i="1"/>
  <c r="C31" i="1"/>
  <c r="C26" i="1" s="1"/>
  <c r="D25" i="1"/>
  <c r="E23" i="1" s="1"/>
  <c r="C18" i="1"/>
  <c r="C15" i="1" s="1"/>
  <c r="F25" i="1"/>
  <c r="E24" i="3"/>
  <c r="F31" i="3"/>
  <c r="E22" i="3"/>
  <c r="E21" i="3"/>
  <c r="F21" i="3"/>
  <c r="F25" i="3" s="1"/>
  <c r="D31" i="3"/>
  <c r="E28" i="3" s="1"/>
  <c r="E12" i="3"/>
  <c r="F31" i="1"/>
  <c r="D31" i="1"/>
  <c r="C25" i="1"/>
  <c r="F18" i="1"/>
  <c r="D18" i="1"/>
  <c r="E9" i="1" s="1"/>
  <c r="E12" i="1"/>
  <c r="E9" i="3" l="1"/>
  <c r="E14" i="3"/>
  <c r="E16" i="3"/>
  <c r="C15" i="3"/>
  <c r="C23" i="3"/>
  <c r="C22" i="3"/>
  <c r="C21" i="3"/>
  <c r="E11" i="3"/>
  <c r="E10" i="3"/>
  <c r="E17" i="3"/>
  <c r="E13" i="3"/>
  <c r="C28" i="3"/>
  <c r="C27" i="3"/>
  <c r="C29" i="1"/>
  <c r="E22" i="1"/>
  <c r="E24" i="1"/>
  <c r="C28" i="1"/>
  <c r="E30" i="3"/>
  <c r="E29" i="3"/>
  <c r="C26" i="3"/>
  <c r="C16" i="3"/>
  <c r="C13" i="3"/>
  <c r="C9" i="3"/>
  <c r="C17" i="3"/>
  <c r="C14" i="3"/>
  <c r="C10" i="3"/>
  <c r="C11" i="3"/>
  <c r="C29" i="3"/>
  <c r="C11" i="1"/>
  <c r="C13" i="1"/>
  <c r="C14" i="1"/>
  <c r="C17" i="1"/>
  <c r="C9" i="1"/>
  <c r="E21" i="1"/>
  <c r="C16" i="1"/>
  <c r="C12" i="1"/>
  <c r="C10" i="1"/>
  <c r="C30" i="1"/>
  <c r="C27" i="1"/>
  <c r="E16" i="1"/>
  <c r="E26" i="3"/>
  <c r="E27" i="3"/>
  <c r="E26" i="1"/>
  <c r="E27" i="1"/>
  <c r="C23" i="1"/>
  <c r="C22" i="1"/>
  <c r="C21" i="1"/>
  <c r="C24" i="1"/>
  <c r="E29" i="1"/>
  <c r="E28" i="1"/>
  <c r="E30" i="1"/>
  <c r="E15" i="1"/>
  <c r="E11" i="1"/>
  <c r="E14" i="1"/>
  <c r="E10" i="1"/>
  <c r="E17" i="1"/>
  <c r="E13" i="1"/>
  <c r="D23" i="2"/>
  <c r="F29" i="2" l="1"/>
  <c r="F31" i="2" s="1"/>
  <c r="F22" i="2"/>
  <c r="F23" i="2"/>
  <c r="F24" i="2"/>
  <c r="C4" i="3" l="1"/>
  <c r="B25" i="2"/>
  <c r="D21" i="2"/>
  <c r="F21" i="2" s="1"/>
  <c r="D19" i="2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B33" i="2" l="1"/>
  <c r="C31" i="2"/>
  <c r="F18" i="2"/>
  <c r="C25" i="2"/>
  <c r="C18" i="2"/>
  <c r="D18" i="2"/>
  <c r="E9" i="2" s="1"/>
  <c r="D25" i="2"/>
  <c r="E22" i="2" l="1"/>
  <c r="E23" i="2"/>
  <c r="E24" i="2"/>
  <c r="E21" i="2"/>
  <c r="E28" i="2"/>
  <c r="E30" i="2"/>
  <c r="E27" i="2"/>
  <c r="E29" i="2"/>
  <c r="E26" i="2"/>
  <c r="C10" i="2"/>
  <c r="C12" i="2"/>
  <c r="C14" i="2"/>
  <c r="C16" i="2"/>
  <c r="C9" i="2"/>
  <c r="C11" i="2"/>
  <c r="C13" i="2"/>
  <c r="C15" i="2"/>
  <c r="C17" i="2"/>
  <c r="C23" i="2"/>
  <c r="C21" i="2"/>
  <c r="C22" i="2"/>
  <c r="C24" i="2"/>
  <c r="C27" i="2"/>
  <c r="C29" i="2"/>
  <c r="C26" i="2"/>
  <c r="C28" i="2"/>
  <c r="C30" i="2"/>
  <c r="E11" i="2"/>
  <c r="E13" i="2"/>
  <c r="E15" i="2"/>
  <c r="E17" i="2"/>
  <c r="E10" i="2"/>
  <c r="E12" i="2"/>
  <c r="E14" i="2"/>
  <c r="E16" i="2"/>
  <c r="F25" i="2"/>
  <c r="C4" i="2" l="1"/>
</calcChain>
</file>

<file path=xl/sharedStrings.xml><?xml version="1.0" encoding="utf-8"?>
<sst xmlns="http://schemas.openxmlformats.org/spreadsheetml/2006/main" count="102" uniqueCount="68">
  <si>
    <t>Face value</t>
  </si>
  <si>
    <t>Share              în %</t>
  </si>
  <si>
    <t>Share             în %</t>
  </si>
  <si>
    <t>Banknotes</t>
  </si>
  <si>
    <t>Coins</t>
  </si>
  <si>
    <t xml:space="preserve">Valoarea nominală </t>
  </si>
  <si>
    <t>Pondere              în %</t>
  </si>
  <si>
    <t>Bancnote</t>
  </si>
  <si>
    <t>Bancnote comemorative</t>
  </si>
  <si>
    <t>Monede</t>
  </si>
  <si>
    <t>Номинальная стоимость</t>
  </si>
  <si>
    <t>Доля в %</t>
  </si>
  <si>
    <t>Банкноты</t>
  </si>
  <si>
    <t>Всего</t>
  </si>
  <si>
    <t>Памятные банкноты</t>
  </si>
  <si>
    <t>Монеты</t>
  </si>
  <si>
    <t>Итого</t>
  </si>
  <si>
    <t>Monede jubiliare și comemorative</t>
  </si>
  <si>
    <t xml:space="preserve">Numerar în circulaţie              (mil. lei)                                     </t>
  </si>
  <si>
    <t>Commemorative banknotes</t>
  </si>
  <si>
    <t>Памятные и юбилейные монеты</t>
  </si>
  <si>
    <t xml:space="preserve">Cash in circulation                   (MDL, million)                                     </t>
  </si>
  <si>
    <t xml:space="preserve">Денежная наличность        в обращении                      (млн. лей)                                     </t>
  </si>
  <si>
    <t>Количество банкнот/ монет в обращении            (млн. шт.)</t>
  </si>
  <si>
    <t>Quantity of banknotes/ coins in circulation                   (pcs, million)</t>
  </si>
  <si>
    <t>Cantitatea bancnotelor/ monedelor în circulaţie (mil. buc.)</t>
  </si>
  <si>
    <t>Cantitatea bancnotelor/ monedelor pe cap de locuitor cu reședință obișnuită (buc.)</t>
  </si>
  <si>
    <t>Количество банкнот/ монет на душу населения c постоянным местом жительства  (шт.)</t>
  </si>
  <si>
    <t>Quantity of banknotes/ coins per capita for habitual residence (pcs)</t>
  </si>
  <si>
    <t>Total</t>
  </si>
  <si>
    <t>În total</t>
  </si>
  <si>
    <t>Commemorative and jubilee coins</t>
  </si>
  <si>
    <t>Structura bancnotelor și monedelor în circulaţie</t>
  </si>
  <si>
    <t xml:space="preserve">Structure of banknotes and coins in circulation </t>
  </si>
  <si>
    <t>Структура банкнот и монет в обращении</t>
  </si>
  <si>
    <t>1 LEU</t>
  </si>
  <si>
    <t>5 LEI</t>
  </si>
  <si>
    <t>10 LEI</t>
  </si>
  <si>
    <t>20 LEI</t>
  </si>
  <si>
    <t>50 LEI</t>
  </si>
  <si>
    <t>100 LEI</t>
  </si>
  <si>
    <t>200 LEI</t>
  </si>
  <si>
    <t>500 LEI</t>
  </si>
  <si>
    <t>1000 LEI</t>
  </si>
  <si>
    <t>2 LEI</t>
  </si>
  <si>
    <t>1 BAN</t>
  </si>
  <si>
    <t>5 BANI</t>
  </si>
  <si>
    <t>10 BANI</t>
  </si>
  <si>
    <t>25 BANI</t>
  </si>
  <si>
    <t>50 BANI</t>
  </si>
  <si>
    <t>1 ЛЕЙ</t>
  </si>
  <si>
    <t>5 ЛЕЕВ</t>
  </si>
  <si>
    <t>10 ЛЕЕВ</t>
  </si>
  <si>
    <t>20 ЛЕЕВ</t>
  </si>
  <si>
    <t>50 ЛЕЕВ</t>
  </si>
  <si>
    <t>100 ЛЕЕВ</t>
  </si>
  <si>
    <t>200 ЛЕЕВ</t>
  </si>
  <si>
    <t>500 ЛЕЕВ</t>
  </si>
  <si>
    <t>1000 ЛЕЕВ</t>
  </si>
  <si>
    <t>2 ЛЕЯ</t>
  </si>
  <si>
    <t>1 БАН</t>
  </si>
  <si>
    <t>5 БАНЕЙ</t>
  </si>
  <si>
    <t>10 БАНЕЙ</t>
  </si>
  <si>
    <t>25 БАНЕЙ</t>
  </si>
  <si>
    <t>50 БАНЕЙ</t>
  </si>
  <si>
    <t>la situaţia din 31 decembrie 2024</t>
  </si>
  <si>
    <t>as of 31 December 2024</t>
  </si>
  <si>
    <t>на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</si>
</sst>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;;"/>
    <numFmt numFmtId="165" formatCode="#,##0.00_ ;[Red]\-#,##0.00\ "/>
    <numFmt numFmtId="166" formatCode="0.0000"/>
    <numFmt numFmtId="167" formatCode="#,##0.000"/>
    <numFmt numFmtId="168" formatCode="0.000"/>
    <numFmt numFmtId="169" formatCode="#,##0\ &quot;L&quot;"/>
    <numFmt numFmtId="170" formatCode="#,##0.00\ &quot;L&quot;"/>
  </numFmts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name val="PermianSansTypeface"/>
      <family val="3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name val="PermianSerifTypeface"/>
      <family val="3"/>
    </font>
    <font>
      <sz val="11"/>
      <name val="PermianSerifTypeface"/>
      <family val="3"/>
    </font>
    <font>
      <sz val="10"/>
      <name val="PermianSerifTypeface"/>
      <family val="3"/>
    </font>
    <font>
      <sz val="11"/>
      <color indexed="8"/>
      <name val="PermianSerifTypeface"/>
      <family val="3"/>
    </font>
    <font>
      <sz val="11"/>
      <color theme="0"/>
      <name val="PermianSerifTypeface"/>
      <family val="3"/>
    </font>
    <font>
      <b/>
      <sz val="10"/>
      <name val="PermianSerifTypeface"/>
      <family val="3"/>
    </font>
    <font>
      <b/>
      <sz val="10"/>
      <color indexed="8"/>
      <name val="PermianSerifTypeface"/>
      <family val="3"/>
    </font>
    <font>
      <b/>
      <sz val="10"/>
      <color indexed="10"/>
      <name val="PermianSerifTypeface"/>
      <family val="3"/>
    </font>
    <font>
      <sz val="10"/>
      <color indexed="8"/>
      <name val="PermianSerifTypeface"/>
      <family val="3"/>
    </font>
    <font>
      <b/>
      <sz val="10"/>
      <color rgb="FFFF0000"/>
      <name val="PermianSerifTypeface"/>
      <family val="3"/>
    </font>
    <font>
      <sz val="10"/>
      <color theme="0"/>
      <name val="PermianSerifTypeface"/>
      <family val="3"/>
    </font>
    <font>
      <b/>
      <sz val="10"/>
      <color rgb="FFC00000"/>
      <name val="PermianSerifTypeface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/>
      <bottom style="thin">
        <color indexed="2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23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/>
      <top style="thin">
        <color indexed="23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 style="medium">
        <color indexed="8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2" applyFont="1"/>
    <xf numFmtId="0" fontId="4" fillId="0" borderId="0" xfId="2"/>
    <xf numFmtId="0" fontId="3" fillId="0" borderId="0" xfId="2" applyFont="1"/>
    <xf numFmtId="0" fontId="6" fillId="0" borderId="0" xfId="0" applyFont="1"/>
    <xf numFmtId="0" fontId="7" fillId="0" borderId="0" xfId="0" applyFont="1"/>
    <xf numFmtId="164" fontId="8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2" applyFont="1"/>
    <xf numFmtId="0" fontId="7" fillId="0" borderId="0" xfId="2" applyFont="1"/>
    <xf numFmtId="164" fontId="8" fillId="0" borderId="0" xfId="2" applyNumberFormat="1" applyFont="1" applyAlignment="1">
      <alignment vertical="top" wrapText="1"/>
    </xf>
    <xf numFmtId="4" fontId="9" fillId="0" borderId="0" xfId="2" applyNumberFormat="1" applyFont="1" applyAlignment="1">
      <alignment vertical="top" wrapText="1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11" fillId="0" borderId="50" xfId="2" applyNumberFormat="1" applyFont="1" applyBorder="1" applyAlignment="1">
      <alignment horizontal="right" vertical="top" wrapText="1"/>
    </xf>
    <xf numFmtId="4" fontId="7" fillId="0" borderId="20" xfId="2" applyNumberFormat="1" applyFont="1" applyBorder="1"/>
    <xf numFmtId="4" fontId="7" fillId="0" borderId="21" xfId="2" applyNumberFormat="1" applyFont="1" applyBorder="1"/>
    <xf numFmtId="165" fontId="7" fillId="0" borderId="22" xfId="2" applyNumberFormat="1" applyFont="1" applyBorder="1"/>
    <xf numFmtId="2" fontId="7" fillId="0" borderId="51" xfId="2" applyNumberFormat="1" applyFont="1" applyBorder="1"/>
    <xf numFmtId="164" fontId="11" fillId="0" borderId="24" xfId="2" applyNumberFormat="1" applyFont="1" applyBorder="1" applyAlignment="1">
      <alignment horizontal="right" vertical="top" wrapText="1"/>
    </xf>
    <xf numFmtId="4" fontId="7" fillId="0" borderId="36" xfId="2" applyNumberFormat="1" applyFont="1" applyBorder="1"/>
    <xf numFmtId="165" fontId="7" fillId="0" borderId="52" xfId="2" applyNumberFormat="1" applyFont="1" applyBorder="1"/>
    <xf numFmtId="164" fontId="11" fillId="0" borderId="53" xfId="2" applyNumberFormat="1" applyFont="1" applyBorder="1" applyAlignment="1">
      <alignment horizontal="right" vertical="top" wrapText="1"/>
    </xf>
    <xf numFmtId="4" fontId="7" fillId="0" borderId="8" xfId="2" applyNumberFormat="1" applyFont="1" applyBorder="1"/>
    <xf numFmtId="4" fontId="7" fillId="0" borderId="7" xfId="2" applyNumberFormat="1" applyFont="1" applyBorder="1"/>
    <xf numFmtId="165" fontId="7" fillId="0" borderId="9" xfId="2" applyNumberFormat="1" applyFont="1" applyBorder="1"/>
    <xf numFmtId="2" fontId="7" fillId="0" borderId="54" xfId="2" applyNumberFormat="1" applyFont="1" applyBorder="1"/>
    <xf numFmtId="164" fontId="11" fillId="0" borderId="33" xfId="2" applyNumberFormat="1" applyFont="1" applyBorder="1" applyAlignment="1">
      <alignment horizontal="right" vertical="top" wrapText="1"/>
    </xf>
    <xf numFmtId="2" fontId="7" fillId="0" borderId="20" xfId="2" applyNumberFormat="1" applyFont="1" applyBorder="1"/>
    <xf numFmtId="164" fontId="11" fillId="0" borderId="35" xfId="2" applyNumberFormat="1" applyFont="1" applyBorder="1" applyAlignment="1">
      <alignment horizontal="right" vertical="top" wrapText="1"/>
    </xf>
    <xf numFmtId="168" fontId="7" fillId="0" borderId="20" xfId="2" applyNumberFormat="1" applyFont="1" applyBorder="1"/>
    <xf numFmtId="164" fontId="11" fillId="0" borderId="57" xfId="2" applyNumberFormat="1" applyFont="1" applyBorder="1" applyAlignment="1">
      <alignment horizontal="right" vertical="top" wrapText="1"/>
    </xf>
    <xf numFmtId="2" fontId="7" fillId="0" borderId="8" xfId="2" applyNumberFormat="1" applyFont="1" applyBorder="1"/>
    <xf numFmtId="4" fontId="7" fillId="0" borderId="19" xfId="0" applyNumberFormat="1" applyFont="1" applyBorder="1"/>
    <xf numFmtId="4" fontId="7" fillId="0" borderId="20" xfId="0" applyNumberFormat="1" applyFont="1" applyBorder="1"/>
    <xf numFmtId="4" fontId="7" fillId="0" borderId="21" xfId="0" applyNumberFormat="1" applyFont="1" applyBorder="1"/>
    <xf numFmtId="165" fontId="7" fillId="0" borderId="22" xfId="0" applyNumberFormat="1" applyFont="1" applyBorder="1"/>
    <xf numFmtId="2" fontId="7" fillId="0" borderId="23" xfId="0" applyNumberFormat="1" applyFont="1" applyBorder="1"/>
    <xf numFmtId="4" fontId="7" fillId="0" borderId="24" xfId="0" applyNumberFormat="1" applyFont="1" applyBorder="1"/>
    <xf numFmtId="4" fontId="7" fillId="0" borderId="25" xfId="0" applyNumberFormat="1" applyFont="1" applyBorder="1"/>
    <xf numFmtId="4" fontId="7" fillId="0" borderId="8" xfId="0" applyNumberFormat="1" applyFont="1" applyBorder="1"/>
    <xf numFmtId="4" fontId="7" fillId="0" borderId="7" xfId="0" applyNumberFormat="1" applyFont="1" applyBorder="1"/>
    <xf numFmtId="165" fontId="7" fillId="0" borderId="9" xfId="0" applyNumberFormat="1" applyFont="1" applyBorder="1"/>
    <xf numFmtId="164" fontId="11" fillId="0" borderId="33" xfId="0" applyNumberFormat="1" applyFont="1" applyBorder="1" applyAlignment="1">
      <alignment horizontal="right" vertical="top" wrapText="1"/>
    </xf>
    <xf numFmtId="4" fontId="7" fillId="0" borderId="34" xfId="0" applyNumberFormat="1" applyFont="1" applyBorder="1"/>
    <xf numFmtId="2" fontId="7" fillId="0" borderId="20" xfId="0" applyNumberFormat="1" applyFont="1" applyBorder="1"/>
    <xf numFmtId="4" fontId="13" fillId="0" borderId="22" xfId="0" applyNumberFormat="1" applyFont="1" applyBorder="1" applyAlignment="1">
      <alignment horizontal="right" wrapText="1"/>
    </xf>
    <xf numFmtId="164" fontId="11" fillId="0" borderId="35" xfId="0" applyNumberFormat="1" applyFont="1" applyBorder="1" applyAlignment="1">
      <alignment horizontal="right" vertical="top" wrapText="1"/>
    </xf>
    <xf numFmtId="4" fontId="7" fillId="0" borderId="36" xfId="0" applyNumberFormat="1" applyFont="1" applyBorder="1"/>
    <xf numFmtId="167" fontId="7" fillId="0" borderId="20" xfId="0" applyNumberFormat="1" applyFont="1" applyBorder="1"/>
    <xf numFmtId="4" fontId="7" fillId="0" borderId="38" xfId="0" applyNumberFormat="1" applyFont="1" applyBorder="1"/>
    <xf numFmtId="2" fontId="7" fillId="0" borderId="51" xfId="0" applyNumberFormat="1" applyFont="1" applyBorder="1"/>
    <xf numFmtId="165" fontId="7" fillId="0" borderId="52" xfId="0" applyNumberFormat="1" applyFont="1" applyBorder="1"/>
    <xf numFmtId="2" fontId="7" fillId="0" borderId="54" xfId="0" applyNumberFormat="1" applyFont="1" applyBorder="1"/>
    <xf numFmtId="168" fontId="7" fillId="0" borderId="20" xfId="0" applyNumberFormat="1" applyFont="1" applyBorder="1"/>
    <xf numFmtId="164" fontId="11" fillId="0" borderId="57" xfId="0" applyNumberFormat="1" applyFont="1" applyBorder="1" applyAlignment="1">
      <alignment horizontal="right" vertical="top" wrapText="1"/>
    </xf>
    <xf numFmtId="2" fontId="7" fillId="0" borderId="8" xfId="0" applyNumberFormat="1" applyFont="1" applyBorder="1"/>
    <xf numFmtId="164" fontId="11" fillId="2" borderId="11" xfId="1" applyNumberFormat="1" applyFont="1" applyFill="1" applyBorder="1" applyAlignment="1">
      <alignment horizontal="left" vertical="top" wrapText="1"/>
    </xf>
    <xf numFmtId="0" fontId="5" fillId="3" borderId="0" xfId="0" applyFont="1" applyFill="1"/>
    <xf numFmtId="0" fontId="10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11" fillId="2" borderId="26" xfId="0" applyNumberFormat="1" applyFont="1" applyFill="1" applyBorder="1" applyAlignment="1">
      <alignment horizontal="left" vertical="top" wrapText="1"/>
    </xf>
    <xf numFmtId="4" fontId="12" fillId="4" borderId="26" xfId="0" applyNumberFormat="1" applyFont="1" applyFill="1" applyBorder="1"/>
    <xf numFmtId="4" fontId="12" fillId="4" borderId="27" xfId="0" applyNumberFormat="1" applyFont="1" applyFill="1" applyBorder="1"/>
    <xf numFmtId="4" fontId="12" fillId="4" borderId="28" xfId="0" applyNumberFormat="1" applyFont="1" applyFill="1" applyBorder="1"/>
    <xf numFmtId="3" fontId="12" fillId="4" borderId="29" xfId="0" applyNumberFormat="1" applyFont="1" applyFill="1" applyBorder="1"/>
    <xf numFmtId="2" fontId="12" fillId="4" borderId="37" xfId="0" applyNumberFormat="1" applyFont="1" applyFill="1" applyBorder="1"/>
    <xf numFmtId="164" fontId="11" fillId="2" borderId="55" xfId="0" applyNumberFormat="1" applyFont="1" applyFill="1" applyBorder="1" applyAlignment="1">
      <alignment horizontal="left" vertical="top" wrapText="1"/>
    </xf>
    <xf numFmtId="4" fontId="7" fillId="4" borderId="31" xfId="0" applyNumberFormat="1" applyFont="1" applyFill="1" applyBorder="1"/>
    <xf numFmtId="4" fontId="10" fillId="4" borderId="8" xfId="0" applyNumberFormat="1" applyFont="1" applyFill="1" applyBorder="1"/>
    <xf numFmtId="167" fontId="7" fillId="4" borderId="12" xfId="0" applyNumberFormat="1" applyFont="1" applyFill="1" applyBorder="1"/>
    <xf numFmtId="3" fontId="10" fillId="4" borderId="14" xfId="0" applyNumberFormat="1" applyFont="1" applyFill="1" applyBorder="1"/>
    <xf numFmtId="3" fontId="10" fillId="4" borderId="56" xfId="0" applyNumberFormat="1" applyFont="1" applyFill="1" applyBorder="1"/>
    <xf numFmtId="164" fontId="11" fillId="2" borderId="48" xfId="0" applyNumberFormat="1" applyFont="1" applyFill="1" applyBorder="1" applyAlignment="1">
      <alignment horizontal="left" vertical="top" wrapText="1"/>
    </xf>
    <xf numFmtId="4" fontId="12" fillId="4" borderId="40" xfId="0" applyNumberFormat="1" applyFont="1" applyFill="1" applyBorder="1"/>
    <xf numFmtId="4" fontId="12" fillId="4" borderId="21" xfId="0" applyNumberFormat="1" applyFont="1" applyFill="1" applyBorder="1"/>
    <xf numFmtId="4" fontId="12" fillId="4" borderId="51" xfId="0" applyNumberFormat="1" applyFont="1" applyFill="1" applyBorder="1"/>
    <xf numFmtId="164" fontId="11" fillId="2" borderId="58" xfId="0" applyNumberFormat="1" applyFont="1" applyFill="1" applyBorder="1" applyAlignment="1">
      <alignment horizontal="left" vertical="top" wrapText="1"/>
    </xf>
    <xf numFmtId="4" fontId="7" fillId="4" borderId="17" xfId="0" applyNumberFormat="1" applyFont="1" applyFill="1" applyBorder="1"/>
    <xf numFmtId="4" fontId="10" fillId="4" borderId="27" xfId="0" applyNumberFormat="1" applyFont="1" applyFill="1" applyBorder="1"/>
    <xf numFmtId="167" fontId="7" fillId="4" borderId="28" xfId="0" applyNumberFormat="1" applyFont="1" applyFill="1" applyBorder="1"/>
    <xf numFmtId="3" fontId="10" fillId="4" borderId="29" xfId="0" applyNumberFormat="1" applyFont="1" applyFill="1" applyBorder="1"/>
    <xf numFmtId="4" fontId="10" fillId="4" borderId="37" xfId="0" applyNumberFormat="1" applyFont="1" applyFill="1" applyBorder="1"/>
    <xf numFmtId="164" fontId="11" fillId="2" borderId="59" xfId="0" applyNumberFormat="1" applyFont="1" applyFill="1" applyBorder="1" applyAlignment="1">
      <alignment horizontal="left" vertical="top" wrapText="1"/>
    </xf>
    <xf numFmtId="164" fontId="11" fillId="2" borderId="16" xfId="1" applyNumberFormat="1" applyFont="1" applyFill="1" applyBorder="1" applyAlignment="1">
      <alignment horizontal="left" vertical="top" wrapText="1"/>
    </xf>
    <xf numFmtId="2" fontId="12" fillId="4" borderId="18" xfId="0" applyNumberFormat="1" applyFont="1" applyFill="1" applyBorder="1"/>
    <xf numFmtId="164" fontId="11" fillId="2" borderId="30" xfId="1" applyNumberFormat="1" applyFont="1" applyFill="1" applyBorder="1" applyAlignment="1">
      <alignment horizontal="left" vertical="top" wrapText="1"/>
    </xf>
    <xf numFmtId="3" fontId="10" fillId="4" borderId="32" xfId="0" applyNumberFormat="1" applyFont="1" applyFill="1" applyBorder="1"/>
    <xf numFmtId="164" fontId="11" fillId="2" borderId="39" xfId="1" applyNumberFormat="1" applyFont="1" applyFill="1" applyBorder="1" applyAlignment="1">
      <alignment horizontal="left" vertical="top" wrapText="1"/>
    </xf>
    <xf numFmtId="3" fontId="12" fillId="4" borderId="9" xfId="0" applyNumberFormat="1" applyFont="1" applyFill="1" applyBorder="1"/>
    <xf numFmtId="4" fontId="12" fillId="4" borderId="23" xfId="0" applyNumberFormat="1" applyFont="1" applyFill="1" applyBorder="1"/>
    <xf numFmtId="4" fontId="10" fillId="4" borderId="18" xfId="0" applyNumberFormat="1" applyFont="1" applyFill="1" applyBorder="1"/>
    <xf numFmtId="164" fontId="11" fillId="2" borderId="41" xfId="0" applyNumberFormat="1" applyFont="1" applyFill="1" applyBorder="1" applyAlignment="1">
      <alignment horizontal="left" vertical="top" wrapText="1"/>
    </xf>
    <xf numFmtId="0" fontId="5" fillId="3" borderId="0" xfId="2" applyFont="1" applyFill="1"/>
    <xf numFmtId="0" fontId="10" fillId="3" borderId="0" xfId="2" applyFont="1" applyFill="1"/>
    <xf numFmtId="0" fontId="6" fillId="3" borderId="0" xfId="2" applyFont="1" applyFill="1"/>
    <xf numFmtId="0" fontId="7" fillId="3" borderId="0" xfId="2" applyFont="1" applyFill="1"/>
    <xf numFmtId="4" fontId="12" fillId="4" borderId="26" xfId="2" applyNumberFormat="1" applyFont="1" applyFill="1" applyBorder="1"/>
    <xf numFmtId="4" fontId="12" fillId="4" borderId="27" xfId="2" applyNumberFormat="1" applyFont="1" applyFill="1" applyBorder="1"/>
    <xf numFmtId="4" fontId="12" fillId="4" borderId="28" xfId="2" applyNumberFormat="1" applyFont="1" applyFill="1" applyBorder="1"/>
    <xf numFmtId="3" fontId="12" fillId="4" borderId="29" xfId="2" applyNumberFormat="1" applyFont="1" applyFill="1" applyBorder="1"/>
    <xf numFmtId="2" fontId="12" fillId="4" borderId="37" xfId="2" applyNumberFormat="1" applyFont="1" applyFill="1" applyBorder="1"/>
    <xf numFmtId="4" fontId="10" fillId="4" borderId="8" xfId="2" applyNumberFormat="1" applyFont="1" applyFill="1" applyBorder="1"/>
    <xf numFmtId="167" fontId="7" fillId="4" borderId="12" xfId="2" applyNumberFormat="1" applyFont="1" applyFill="1" applyBorder="1"/>
    <xf numFmtId="3" fontId="10" fillId="4" borderId="14" xfId="2" applyNumberFormat="1" applyFont="1" applyFill="1" applyBorder="1"/>
    <xf numFmtId="3" fontId="10" fillId="4" borderId="56" xfId="2" applyNumberFormat="1" applyFont="1" applyFill="1" applyBorder="1"/>
    <xf numFmtId="4" fontId="12" fillId="4" borderId="40" xfId="2" applyNumberFormat="1" applyFont="1" applyFill="1" applyBorder="1"/>
    <xf numFmtId="4" fontId="12" fillId="4" borderId="21" xfId="2" applyNumberFormat="1" applyFont="1" applyFill="1" applyBorder="1"/>
    <xf numFmtId="4" fontId="12" fillId="4" borderId="51" xfId="2" applyNumberFormat="1" applyFont="1" applyFill="1" applyBorder="1"/>
    <xf numFmtId="4" fontId="10" fillId="4" borderId="27" xfId="2" applyNumberFormat="1" applyFont="1" applyFill="1" applyBorder="1"/>
    <xf numFmtId="3" fontId="10" fillId="4" borderId="29" xfId="2" applyNumberFormat="1" applyFont="1" applyFill="1" applyBorder="1"/>
    <xf numFmtId="4" fontId="10" fillId="4" borderId="37" xfId="2" applyNumberFormat="1" applyFont="1" applyFill="1" applyBorder="1"/>
    <xf numFmtId="3" fontId="14" fillId="4" borderId="42" xfId="0" applyNumberFormat="1" applyFont="1" applyFill="1" applyBorder="1"/>
    <xf numFmtId="3" fontId="14" fillId="4" borderId="43" xfId="0" applyNumberFormat="1" applyFont="1" applyFill="1" applyBorder="1"/>
    <xf numFmtId="4" fontId="14" fillId="4" borderId="60" xfId="0" applyNumberFormat="1" applyFont="1" applyFill="1" applyBorder="1"/>
    <xf numFmtId="3" fontId="14" fillId="4" borderId="61" xfId="0" applyNumberFormat="1" applyFont="1" applyFill="1" applyBorder="1"/>
    <xf numFmtId="3" fontId="14" fillId="4" borderId="62" xfId="0" applyNumberFormat="1" applyFont="1" applyFill="1" applyBorder="1"/>
    <xf numFmtId="3" fontId="14" fillId="4" borderId="61" xfId="2" applyNumberFormat="1" applyFont="1" applyFill="1" applyBorder="1"/>
    <xf numFmtId="3" fontId="14" fillId="4" borderId="62" xfId="2" applyNumberFormat="1" applyFont="1" applyFill="1" applyBorder="1"/>
    <xf numFmtId="166" fontId="15" fillId="0" borderId="0" xfId="0" applyNumberFormat="1" applyFont="1"/>
    <xf numFmtId="4" fontId="7" fillId="0" borderId="52" xfId="2" applyNumberFormat="1" applyFont="1" applyBorder="1"/>
    <xf numFmtId="2" fontId="7" fillId="0" borderId="63" xfId="2" applyNumberFormat="1" applyFont="1" applyBorder="1"/>
    <xf numFmtId="2" fontId="7" fillId="0" borderId="52" xfId="2" applyNumberFormat="1" applyFont="1" applyBorder="1"/>
    <xf numFmtId="4" fontId="7" fillId="0" borderId="64" xfId="2" applyNumberFormat="1" applyFont="1" applyBorder="1"/>
    <xf numFmtId="4" fontId="7" fillId="0" borderId="63" xfId="2" applyNumberFormat="1" applyFont="1" applyBorder="1"/>
    <xf numFmtId="4" fontId="7" fillId="0" borderId="52" xfId="0" applyNumberFormat="1" applyFont="1" applyBorder="1"/>
    <xf numFmtId="2" fontId="7" fillId="0" borderId="67" xfId="0" applyNumberFormat="1" applyFont="1" applyBorder="1"/>
    <xf numFmtId="2" fontId="7" fillId="0" borderId="66" xfId="0" applyNumberFormat="1" applyFont="1" applyBorder="1"/>
    <xf numFmtId="2" fontId="7" fillId="0" borderId="52" xfId="0" applyNumberFormat="1" applyFont="1" applyBorder="1"/>
    <xf numFmtId="4" fontId="13" fillId="0" borderId="9" xfId="0" applyNumberFormat="1" applyFont="1" applyBorder="1" applyAlignment="1">
      <alignment horizontal="right" wrapText="1"/>
    </xf>
    <xf numFmtId="4" fontId="13" fillId="0" borderId="52" xfId="0" applyNumberFormat="1" applyFont="1" applyBorder="1" applyAlignment="1">
      <alignment horizontal="right" wrapText="1"/>
    </xf>
    <xf numFmtId="4" fontId="7" fillId="0" borderId="64" xfId="0" applyNumberFormat="1" applyFont="1" applyBorder="1"/>
    <xf numFmtId="4" fontId="7" fillId="0" borderId="65" xfId="0" applyNumberFormat="1" applyFont="1" applyBorder="1"/>
    <xf numFmtId="4" fontId="7" fillId="0" borderId="63" xfId="0" applyNumberFormat="1" applyFont="1" applyBorder="1"/>
    <xf numFmtId="4" fontId="13" fillId="0" borderId="68" xfId="0" applyNumberFormat="1" applyFont="1" applyBorder="1" applyAlignment="1">
      <alignment horizontal="right" wrapText="1"/>
    </xf>
    <xf numFmtId="4" fontId="14" fillId="4" borderId="69" xfId="0" applyNumberFormat="1" applyFont="1" applyFill="1" applyBorder="1"/>
    <xf numFmtId="4" fontId="14" fillId="4" borderId="70" xfId="2" applyNumberFormat="1" applyFont="1" applyFill="1" applyBorder="1"/>
    <xf numFmtId="2" fontId="7" fillId="0" borderId="63" xfId="0" applyNumberFormat="1" applyFont="1" applyBorder="1"/>
    <xf numFmtId="4" fontId="14" fillId="4" borderId="70" xfId="0" applyNumberFormat="1" applyFont="1" applyFill="1" applyBorder="1"/>
    <xf numFmtId="4" fontId="7" fillId="0" borderId="48" xfId="0" applyNumberFormat="1" applyFont="1" applyBorder="1"/>
    <xf numFmtId="4" fontId="7" fillId="0" borderId="48" xfId="2" applyNumberFormat="1" applyFont="1" applyBorder="1"/>
    <xf numFmtId="4" fontId="7" fillId="0" borderId="0" xfId="0" applyNumberFormat="1" applyFont="1"/>
    <xf numFmtId="169" fontId="16" fillId="3" borderId="0" xfId="0" applyNumberFormat="1" applyFont="1" applyFill="1"/>
    <xf numFmtId="170" fontId="0" fillId="0" borderId="0" xfId="0" applyNumberFormat="1"/>
    <xf numFmtId="3" fontId="7" fillId="0" borderId="0" xfId="0" applyNumberFormat="1" applyFont="1"/>
    <xf numFmtId="3" fontId="10" fillId="3" borderId="0" xfId="0" applyNumberFormat="1" applyFont="1" applyFill="1"/>
    <xf numFmtId="3" fontId="7" fillId="3" borderId="0" xfId="0" applyNumberFormat="1" applyFont="1" applyFill="1"/>
    <xf numFmtId="4" fontId="7" fillId="0" borderId="71" xfId="0" applyNumberFormat="1" applyFont="1" applyBorder="1"/>
    <xf numFmtId="4" fontId="7" fillId="0" borderId="72" xfId="0" applyNumberFormat="1" applyFont="1" applyBorder="1"/>
    <xf numFmtId="164" fontId="10" fillId="0" borderId="50" xfId="0" applyNumberFormat="1" applyFont="1" applyBorder="1" applyAlignment="1">
      <alignment horizontal="right" vertical="top" wrapText="1"/>
    </xf>
    <xf numFmtId="164" fontId="10" fillId="2" borderId="26" xfId="0" applyNumberFormat="1" applyFont="1" applyFill="1" applyBorder="1" applyAlignment="1">
      <alignment horizontal="left" vertical="top" wrapText="1"/>
    </xf>
    <xf numFmtId="164" fontId="11" fillId="0" borderId="2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1" fillId="0" borderId="44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164" fontId="11" fillId="0" borderId="4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11" fillId="0" borderId="46" xfId="0" applyNumberFormat="1" applyFont="1" applyBorder="1" applyAlignment="1">
      <alignment horizontal="center" vertical="center" textRotation="90" wrapText="1"/>
    </xf>
    <xf numFmtId="164" fontId="11" fillId="0" borderId="8" xfId="0" applyNumberFormat="1" applyFont="1" applyBorder="1" applyAlignment="1">
      <alignment horizontal="center" vertical="center" textRotation="90" wrapText="1"/>
    </xf>
    <xf numFmtId="164" fontId="11" fillId="0" borderId="13" xfId="0" applyNumberFormat="1" applyFont="1" applyBorder="1" applyAlignment="1">
      <alignment horizontal="center" vertical="center" textRotation="90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47" xfId="0" applyNumberFormat="1" applyFont="1" applyBorder="1" applyAlignment="1">
      <alignment horizontal="center" vertical="center" textRotation="90" wrapText="1"/>
    </xf>
    <xf numFmtId="164" fontId="11" fillId="0" borderId="9" xfId="0" applyNumberFormat="1" applyFont="1" applyBorder="1" applyAlignment="1">
      <alignment horizontal="center" vertical="center" textRotation="90" wrapText="1"/>
    </xf>
    <xf numFmtId="164" fontId="11" fillId="0" borderId="14" xfId="0" applyNumberFormat="1" applyFont="1" applyBorder="1" applyAlignment="1">
      <alignment horizontal="center" vertical="center" textRotation="90" wrapText="1"/>
    </xf>
    <xf numFmtId="164" fontId="11" fillId="0" borderId="48" xfId="0" applyNumberFormat="1" applyFont="1" applyBorder="1" applyAlignment="1">
      <alignment horizontal="center" vertical="center" wrapText="1"/>
    </xf>
    <xf numFmtId="164" fontId="11" fillId="0" borderId="49" xfId="0" applyNumberFormat="1" applyFont="1" applyBorder="1" applyAlignment="1">
      <alignment horizontal="center" vertical="center" wrapText="1"/>
    </xf>
    <xf numFmtId="164" fontId="11" fillId="0" borderId="16" xfId="1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164" fontId="11" fillId="0" borderId="1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textRotation="90" wrapText="1"/>
    </xf>
    <xf numFmtId="164" fontId="11" fillId="0" borderId="8" xfId="1" applyNumberFormat="1" applyFont="1" applyBorder="1" applyAlignment="1">
      <alignment horizontal="center" vertical="center" textRotation="90" wrapText="1"/>
    </xf>
    <xf numFmtId="164" fontId="11" fillId="0" borderId="13" xfId="1" applyNumberFormat="1" applyFont="1" applyBorder="1" applyAlignment="1">
      <alignment horizontal="center" vertical="center" textRotation="90" wrapText="1"/>
    </xf>
    <xf numFmtId="164" fontId="11" fillId="0" borderId="4" xfId="1" applyNumberFormat="1" applyFont="1" applyBorder="1" applyAlignment="1">
      <alignment horizontal="center" vertical="center" textRotation="90" wrapText="1"/>
    </xf>
    <xf numFmtId="164" fontId="11" fillId="0" borderId="9" xfId="1" applyNumberFormat="1" applyFont="1" applyBorder="1" applyAlignment="1">
      <alignment horizontal="center" vertical="center" textRotation="90" wrapText="1"/>
    </xf>
    <xf numFmtId="164" fontId="11" fillId="0" borderId="14" xfId="1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: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Structura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bancnotelor și monedelor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în circulaţie la situa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ția</a:t>
            </a:r>
            <a:r>
              <a:rPr lang="ro-MD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31 decembrie 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24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                                    </a:t>
            </a:r>
            <a:r>
              <a:rPr lang="en-US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cantitativ</a:t>
            </a:r>
            <a:endParaRPr lang="en-US" sz="1000" b="0" i="1">
              <a:solidFill>
                <a:sysClr val="windowText" lastClr="000000"/>
              </a:solidFill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tx>
            <c:strRef>
              <c:f>'[2]2020-2024 ROM'!$A$14:$A$18</c:f>
              <c:strCache>
                <c:ptCount val="1"/>
                <c:pt idx="0">
                  <c:v>Bancnote Monede LEI Monede BANI Bancnote comemorative Monede jubiliare și comemorative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F6-420E-8F1E-B7C2BE1FF6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F6-420E-8F1E-B7C2BE1FF6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FF6-420E-8F1E-B7C2BE1FF689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FF6-420E-8F1E-B7C2BE1FF689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FF6-420E-8F1E-B7C2BE1FF689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6-420E-8F1E-B7C2BE1FF689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6-420E-8F1E-B7C2BE1FF689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6-420E-8F1E-B7C2BE1FF689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6-420E-8F1E-B7C2BE1FF689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6-420E-8F1E-B7C2BE1FF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ROM'!$A$14:$A$18</c:f>
              <c:strCache>
                <c:ptCount val="5"/>
                <c:pt idx="0">
                  <c:v>Bancnote</c:v>
                </c:pt>
                <c:pt idx="1">
                  <c:v>Monede LEI</c:v>
                </c:pt>
                <c:pt idx="2">
                  <c:v>Monede BANI</c:v>
                </c:pt>
                <c:pt idx="3">
                  <c:v>Bancnote comemorative</c:v>
                </c:pt>
                <c:pt idx="4">
                  <c:v>Monede jubiliare și comemorative</c:v>
                </c:pt>
              </c:strCache>
            </c:strRef>
          </c:cat>
          <c:val>
            <c:numRef>
              <c:f>'[2]2020-2024 ROM'!$F$14:$F$18</c:f>
              <c:numCache>
                <c:formatCode>General</c:formatCode>
                <c:ptCount val="5"/>
                <c:pt idx="0">
                  <c:v>372.44</c:v>
                </c:pt>
                <c:pt idx="1">
                  <c:v>137.61000000000001</c:v>
                </c:pt>
                <c:pt idx="2">
                  <c:v>981.13</c:v>
                </c:pt>
                <c:pt idx="3">
                  <c:v>4.6899999999999997E-2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F6-420E-8F1E-B7C2BE1FF6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7457848698592768"/>
          <c:w val="0.21805081411005547"/>
          <c:h val="0.64977735828514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Graphic no.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:  S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tructure of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banknotes and coins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in circulation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as of 31 December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2024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                                       </a:t>
            </a:r>
            <a:r>
              <a:rPr lang="en-US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from a quantitative point of view</a:t>
            </a: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tx>
            <c:strRef>
              <c:f>'[2]2020-2024 ENG'!$A$14:$A$18</c:f>
              <c:strCache>
                <c:ptCount val="1"/>
                <c:pt idx="0">
                  <c:v>Banknotes Coins LEI Coins BANI Commemorative banknotes Commemorative and jubilee coins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B9-4A66-B430-58F9DC9D25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B9-4A66-B430-58F9DC9D25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B9-4A66-B430-58F9DC9D2515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B9-4A66-B430-58F9DC9D2515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B9-4A66-B430-58F9DC9D2515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9-4A66-B430-58F9DC9D2515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9-4A66-B430-58F9DC9D2515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B9-4A66-B430-58F9DC9D2515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B9-4A66-B430-58F9DC9D2515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B9-4A66-B430-58F9DC9D25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ENG'!$A$14:$A$18</c:f>
              <c:strCache>
                <c:ptCount val="5"/>
                <c:pt idx="0">
                  <c:v>Banknotes</c:v>
                </c:pt>
                <c:pt idx="1">
                  <c:v>Coins LEI</c:v>
                </c:pt>
                <c:pt idx="2">
                  <c:v>Coins BANI</c:v>
                </c:pt>
                <c:pt idx="3">
                  <c:v>Commemorative banknotes</c:v>
                </c:pt>
                <c:pt idx="4">
                  <c:v>Commemorative and jubilee coins</c:v>
                </c:pt>
              </c:strCache>
            </c:strRef>
          </c:cat>
          <c:val>
            <c:numRef>
              <c:f>'[2]2020-2024 ENG'!$F$14:$F$18</c:f>
              <c:numCache>
                <c:formatCode>General</c:formatCode>
                <c:ptCount val="5"/>
                <c:pt idx="0">
                  <c:v>372.44</c:v>
                </c:pt>
                <c:pt idx="1">
                  <c:v>137.61000000000001</c:v>
                </c:pt>
                <c:pt idx="2">
                  <c:v>981.13</c:v>
                </c:pt>
                <c:pt idx="3">
                  <c:v>4.6899999999999997E-2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B9-4A66-B430-58F9DC9D25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7457848698592768"/>
          <c:w val="0.21805081411005547"/>
          <c:h val="0.64977735828514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График №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1: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Структура банкнот</a:t>
            </a:r>
            <a:r>
              <a:rPr lang="ru-RU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и монет                                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в обращении</a:t>
            </a:r>
            <a:r>
              <a:rPr lang="ru-RU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на 31 декабря 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24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года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</a:t>
            </a:r>
            <a:r>
              <a:rPr lang="ru-RU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количественно</a:t>
            </a:r>
            <a:endParaRPr lang="en-US" sz="1000" b="0" i="1">
              <a:solidFill>
                <a:sysClr val="windowText" lastClr="000000"/>
              </a:solidFill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tx>
            <c:strRef>
              <c:f>'[2]2020-2024 RUS'!$A$14:$A$18</c:f>
              <c:strCache>
                <c:ptCount val="1"/>
                <c:pt idx="0">
                  <c:v>Банкноты Монеты ЛЕЙ Монеты БАНЬ Памятные банкноты Памятные и юбилейные монеты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79-42CF-8BBF-4DAE651F0C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79-42CF-8BBF-4DAE651F0C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79-42CF-8BBF-4DAE651F0C1C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79-42CF-8BBF-4DAE651F0C1C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79-42CF-8BBF-4DAE651F0C1C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9-42CF-8BBF-4DAE651F0C1C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9-42CF-8BBF-4DAE651F0C1C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2CF-8BBF-4DAE651F0C1C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79-42CF-8BBF-4DAE651F0C1C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79-42CF-8BBF-4DAE651F0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RUS'!$A$14:$A$18</c:f>
              <c:strCache>
                <c:ptCount val="5"/>
                <c:pt idx="0">
                  <c:v>Банкноты</c:v>
                </c:pt>
                <c:pt idx="1">
                  <c:v>Монеты ЛЕЙ</c:v>
                </c:pt>
                <c:pt idx="2">
                  <c:v>Монеты БАНЬ</c:v>
                </c:pt>
                <c:pt idx="3">
                  <c:v>Памятные банкноты</c:v>
                </c:pt>
                <c:pt idx="4">
                  <c:v>Памятные и юбилейные монеты</c:v>
                </c:pt>
              </c:strCache>
            </c:strRef>
          </c:cat>
          <c:val>
            <c:numRef>
              <c:f>'[2]2020-2024 ENG'!$F$14:$F$18</c:f>
              <c:numCache>
                <c:formatCode>General</c:formatCode>
                <c:ptCount val="5"/>
                <c:pt idx="0">
                  <c:v>372.44</c:v>
                </c:pt>
                <c:pt idx="1">
                  <c:v>137.61000000000001</c:v>
                </c:pt>
                <c:pt idx="2">
                  <c:v>981.13</c:v>
                </c:pt>
                <c:pt idx="3">
                  <c:v>4.6899999999999997E-2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79-42CF-8BBF-4DAE651F0C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504938327795731"/>
          <c:w val="0.22661301885359258"/>
          <c:h val="0.67386213645259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baseline="0">
                <a:effectLst/>
                <a:latin typeface="PermianSerifTypeface" panose="02000000000000000000" pitchFamily="50" charset="0"/>
              </a:rPr>
              <a:t>Graficul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2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a: Structura pe valori nominale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ale bancnotelor în circulaţie la </a:t>
            </a:r>
            <a:r>
              <a:rPr lang="ro-RO" sz="1000" b="1" i="0" baseline="0">
                <a:effectLst/>
                <a:latin typeface="PermianSerifTypeface" panose="02000000000000000000" pitchFamily="50" charset="0"/>
              </a:rPr>
              <a:t>finele anului 20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24                                            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                               </a:t>
            </a:r>
            <a:r>
              <a:rPr lang="en-US" sz="1000" b="0" i="1" baseline="0">
                <a:effectLst/>
                <a:latin typeface="PermianSerifTypeface" panose="02000000000000000000" pitchFamily="50" charset="0"/>
              </a:rPr>
              <a:t>din punct de vedere</a:t>
            </a:r>
            <a:r>
              <a:rPr lang="ro-RO" sz="1000" b="0" i="1" baseline="0">
                <a:effectLst/>
                <a:latin typeface="PermianSerifTypeface" panose="02000000000000000000" pitchFamily="50" charset="0"/>
              </a:rPr>
              <a:t> valoric</a:t>
            </a:r>
            <a:endParaRPr lang="ro-MD" sz="1000">
              <a:effectLst/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0.1026900348367558"/>
          <c:y val="2.5990897864776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45044171606536E-2"/>
          <c:y val="0.28784857989417817"/>
          <c:w val="0.73910030411652072"/>
          <c:h val="0.6143282294304555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3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A2-44BE-865D-0B84731EE0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A2-44BE-865D-0B84731EE0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A2-44BE-865D-0B84731EE0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A2-44BE-865D-0B84731EE0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5A2-44BE-865D-0B84731EE0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5A2-44BE-865D-0B84731EE0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5A2-44BE-865D-0B84731EE0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5A2-44BE-865D-0B84731EE03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5A2-44BE-865D-0B84731EE036}"/>
              </c:ext>
            </c:extLst>
          </c:dPt>
          <c:dLbls>
            <c:dLbl>
              <c:idx val="0"/>
              <c:layout>
                <c:manualLayout>
                  <c:x val="9.5605033935388425E-2"/>
                  <c:y val="-0.1572199644477261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A2-44BE-865D-0B84731EE036}"/>
                </c:ext>
              </c:extLst>
            </c:dLbl>
            <c:dLbl>
              <c:idx val="1"/>
              <c:layout>
                <c:manualLayout>
                  <c:x val="9.0872797607220696E-2"/>
                  <c:y val="4.718637274713158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A2-44BE-865D-0B84731EE036}"/>
                </c:ext>
              </c:extLst>
            </c:dLbl>
            <c:dLbl>
              <c:idx val="2"/>
              <c:layout>
                <c:manualLayout>
                  <c:x val="1.5178888617468201E-2"/>
                  <c:y val="9.408623165953315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A2-44BE-865D-0B84731EE036}"/>
                </c:ext>
              </c:extLst>
            </c:dLbl>
            <c:dLbl>
              <c:idx val="3"/>
              <c:layout>
                <c:manualLayout>
                  <c:x val="-0.11479943942546411"/>
                  <c:y val="8.33296836928195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A2-44BE-865D-0B84731EE036}"/>
                </c:ext>
              </c:extLst>
            </c:dLbl>
            <c:dLbl>
              <c:idx val="4"/>
              <c:layout>
                <c:manualLayout>
                  <c:x val="-0.21026541182819639"/>
                  <c:y val="5.63666853173527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A2-44BE-865D-0B84731EE036}"/>
                </c:ext>
              </c:extLst>
            </c:dLbl>
            <c:dLbl>
              <c:idx val="5"/>
              <c:layout>
                <c:manualLayout>
                  <c:x val="-0.10729564228584927"/>
                  <c:y val="1.07622782434082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A2-44BE-865D-0B84731EE036}"/>
                </c:ext>
              </c:extLst>
            </c:dLbl>
            <c:dLbl>
              <c:idx val="6"/>
              <c:layout>
                <c:manualLayout>
                  <c:x val="-7.7482138996606581E-2"/>
                  <c:y val="-8.46697498283986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A2-44BE-865D-0B84731EE036}"/>
                </c:ext>
              </c:extLst>
            </c:dLbl>
            <c:dLbl>
              <c:idx val="7"/>
              <c:layout>
                <c:manualLayout>
                  <c:x val="6.4452437111113481E-2"/>
                  <c:y val="-0.1168767699903772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A2-44BE-865D-0B84731EE036}"/>
                </c:ext>
              </c:extLst>
            </c:dLbl>
            <c:dLbl>
              <c:idx val="8"/>
              <c:layout>
                <c:manualLayout>
                  <c:x val="6.4726466655968443E-2"/>
                  <c:y val="-0.1457905182748756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A2-44BE-865D-0B84731EE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'2024_rom'!$B$9:$B$17</c:f>
              <c:numCache>
                <c:formatCode>#,##0.00</c:formatCode>
                <c:ptCount val="9"/>
                <c:pt idx="0">
                  <c:v>75.827720999999997</c:v>
                </c:pt>
                <c:pt idx="1">
                  <c:v>58.860664999999997</c:v>
                </c:pt>
                <c:pt idx="2">
                  <c:v>159.19065000000001</c:v>
                </c:pt>
                <c:pt idx="3">
                  <c:v>284.88549999999998</c:v>
                </c:pt>
                <c:pt idx="4">
                  <c:v>2442.3744000000002</c:v>
                </c:pt>
                <c:pt idx="5">
                  <c:v>6818.1786000000002</c:v>
                </c:pt>
                <c:pt idx="6">
                  <c:v>22922.98</c:v>
                </c:pt>
                <c:pt idx="7">
                  <c:v>7730.0974999999999</c:v>
                </c:pt>
                <c:pt idx="8">
                  <c:v>7569.9040000000005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5A2-44BE-865D-0B84731EE0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27283409657474822"/>
          <c:w val="0.18258472348476446"/>
          <c:h val="0.64588014364313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nr.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3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a: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Structura pe valori nominale ale monedelor metalice LEI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finele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24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din punct de vedere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valoric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7.2478771767088251E-2"/>
          <c:y val="3.1189077437731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9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840450555003617"/>
          <c:y val="0.36775980253900681"/>
          <c:w val="0.61289443168102919"/>
          <c:h val="0.5178197171159352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A6F-4F9C-9BE8-D46A7A83FE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A6F-4F9C-9BE8-D46A7A83FE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A6F-4F9C-9BE8-D46A7A83FE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A6F-4F9C-9BE8-D46A7A83FE00}"/>
              </c:ext>
            </c:extLst>
          </c:dPt>
          <c:dLbls>
            <c:dLbl>
              <c:idx val="0"/>
              <c:layout>
                <c:manualLayout>
                  <c:x val="2.8553417561046686E-2"/>
                  <c:y val="4.6138012276024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F-4F9C-9BE8-D46A7A83FE00}"/>
                </c:ext>
              </c:extLst>
            </c:dLbl>
            <c:dLbl>
              <c:idx val="1"/>
              <c:layout>
                <c:manualLayout>
                  <c:x val="-5.8438602507342119E-2"/>
                  <c:y val="-7.3201479736302426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F-4F9C-9BE8-D46A7A83FE00}"/>
                </c:ext>
              </c:extLst>
            </c:dLbl>
            <c:dLbl>
              <c:idx val="2"/>
              <c:layout>
                <c:manualLayout>
                  <c:x val="-6.1425798515195376E-2"/>
                  <c:y val="-8.0445160890321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6F-4F9C-9BE8-D46A7A83FE00}"/>
                </c:ext>
              </c:extLst>
            </c:dLbl>
            <c:dLbl>
              <c:idx val="3"/>
              <c:layout>
                <c:manualLayout>
                  <c:x val="7.39585648651922E-2"/>
                  <c:y val="-5.28720524107714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6F-4F9C-9BE8-D46A7A83FE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'2024_rom'!$B$21:$B$24</c:f>
              <c:numCache>
                <c:formatCode>#,##0.00</c:formatCode>
                <c:ptCount val="4"/>
                <c:pt idx="0">
                  <c:v>69.034632999999999</c:v>
                </c:pt>
                <c:pt idx="1">
                  <c:v>85.760413999999997</c:v>
                </c:pt>
                <c:pt idx="2">
                  <c:v>84.003929999999997</c:v>
                </c:pt>
                <c:pt idx="3">
                  <c:v>88.963660000000004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6F-4F9C-9BE8-D46A7A83FE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55104924876516415"/>
          <c:w val="0.18258472348476446"/>
          <c:h val="0.36766486866307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bancnotelor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24                                                         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cantitativ</a:t>
            </a:r>
            <a:endParaRPr lang="en-US" sz="1000" b="0" i="1">
              <a:effectLst/>
            </a:endParaRPr>
          </a:p>
        </c:rich>
      </c:tx>
      <c:layout>
        <c:manualLayout>
          <c:xMode val="edge"/>
          <c:yMode val="edge"/>
          <c:x val="9.3549669927622689E-2"/>
          <c:y val="3.6673223019398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7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B7-4BCB-9CDB-0DEDB13CD5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B7-4BCB-9CDB-0DEDB13CD5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6B7-4BCB-9CDB-0DEDB13CD5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6B7-4BCB-9CDB-0DEDB13CD5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6B7-4BCB-9CDB-0DEDB13CD5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6B7-4BCB-9CDB-0DEDB13CD5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6B7-4BCB-9CDB-0DEDB13CD5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6B7-4BCB-9CDB-0DEDB13CD59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6B7-4BCB-9CDB-0DEDB13CD59B}"/>
              </c:ext>
            </c:extLst>
          </c:dPt>
          <c:dLbls>
            <c:dLbl>
              <c:idx val="0"/>
              <c:layout>
                <c:manualLayout>
                  <c:x val="5.8638124779856957E-2"/>
                  <c:y val="3.47549948187212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7-4BCB-9CDB-0DEDB13CD59B}"/>
                </c:ext>
              </c:extLst>
            </c:dLbl>
            <c:dLbl>
              <c:idx val="1"/>
              <c:layout>
                <c:manualLayout>
                  <c:x val="7.1898285441592533E-2"/>
                  <c:y val="-9.11179021431353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7-4BCB-9CDB-0DEDB13CD59B}"/>
                </c:ext>
              </c:extLst>
            </c:dLbl>
            <c:dLbl>
              <c:idx val="2"/>
              <c:layout>
                <c:manualLayout>
                  <c:x val="7.2049402915544652E-2"/>
                  <c:y val="1.63486670582877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B7-4BCB-9CDB-0DEDB13CD59B}"/>
                </c:ext>
              </c:extLst>
            </c:dLbl>
            <c:dLbl>
              <c:idx val="3"/>
              <c:layout>
                <c:manualLayout>
                  <c:x val="-7.0473009055686223E-2"/>
                  <c:y val="1.78898499739284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B7-4BCB-9CDB-0DEDB13CD59B}"/>
                </c:ext>
              </c:extLst>
            </c:dLbl>
            <c:dLbl>
              <c:idx val="4"/>
              <c:layout>
                <c:manualLayout>
                  <c:x val="-8.9446546454420489E-2"/>
                  <c:y val="3.54142052842441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B7-4BCB-9CDB-0DEDB13CD59B}"/>
                </c:ext>
              </c:extLst>
            </c:dLbl>
            <c:dLbl>
              <c:idx val="5"/>
              <c:layout>
                <c:manualLayout>
                  <c:x val="-4.694390473918033E-2"/>
                  <c:y val="-0.133538796887272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B7-4BCB-9CDB-0DEDB13CD59B}"/>
                </c:ext>
              </c:extLst>
            </c:dLbl>
            <c:dLbl>
              <c:idx val="6"/>
              <c:layout>
                <c:manualLayout>
                  <c:x val="-8.6055152196884477E-2"/>
                  <c:y val="-5.04646649989769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B7-4BCB-9CDB-0DEDB13CD59B}"/>
                </c:ext>
              </c:extLst>
            </c:dLbl>
            <c:dLbl>
              <c:idx val="7"/>
              <c:layout>
                <c:manualLayout>
                  <c:x val="5.5317176262058045E-2"/>
                  <c:y val="-0.1206037509818028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B7-4BCB-9CDB-0DEDB13CD59B}"/>
                </c:ext>
              </c:extLst>
            </c:dLbl>
            <c:dLbl>
              <c:idx val="8"/>
              <c:layout>
                <c:manualLayout>
                  <c:x val="8.7376577927759033E-2"/>
                  <c:y val="-9.44085916822325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B7-4BCB-9CDB-0DEDB13CD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'2024_rom'!$D$9:$D$17</c:f>
              <c:numCache>
                <c:formatCode>#,##0.00</c:formatCode>
                <c:ptCount val="9"/>
                <c:pt idx="0">
                  <c:v>75.827720999999997</c:v>
                </c:pt>
                <c:pt idx="1">
                  <c:v>11.772133</c:v>
                </c:pt>
                <c:pt idx="2">
                  <c:v>15.919065</c:v>
                </c:pt>
                <c:pt idx="3">
                  <c:v>14.244274999999998</c:v>
                </c:pt>
                <c:pt idx="4">
                  <c:v>48.847488000000006</c:v>
                </c:pt>
                <c:pt idx="5">
                  <c:v>68.181786000000002</c:v>
                </c:pt>
                <c:pt idx="6">
                  <c:v>114.61489999999999</c:v>
                </c:pt>
                <c:pt idx="7">
                  <c:v>15.460195000000001</c:v>
                </c:pt>
                <c:pt idx="8">
                  <c:v>7.5699040000000002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6B7-4BCB-9CDB-0DEDB13CD5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56299212598427"/>
          <c:y val="0.22755996495611208"/>
          <c:w val="0.16777034120734907"/>
          <c:h val="0.730599898718564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4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a: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Structura pe valori nominale ale monedelor metalice BANI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24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valoric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0.13435723198413388"/>
          <c:y val="3.1188955711244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24428558104266"/>
          <c:y val="0.34151321635976611"/>
          <c:w val="0.63352058508671105"/>
          <c:h val="0.533567693802054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48D-4928-ADDA-D1A651A322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48D-4928-ADDA-D1A651A322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48D-4928-ADDA-D1A651A322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48D-4928-ADDA-D1A651A322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48D-4928-ADDA-D1A651A3223B}"/>
              </c:ext>
            </c:extLst>
          </c:dPt>
          <c:dLbls>
            <c:dLbl>
              <c:idx val="0"/>
              <c:layout>
                <c:manualLayout>
                  <c:x val="4.7937825488357247E-2"/>
                  <c:y val="5.465104263541860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D-4928-ADDA-D1A651A3223B}"/>
                </c:ext>
              </c:extLst>
            </c:dLbl>
            <c:dLbl>
              <c:idx val="1"/>
              <c:layout>
                <c:manualLayout>
                  <c:x val="-0.10162150799686878"/>
                  <c:y val="1.2379358092049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8D-4928-ADDA-D1A651A3223B}"/>
                </c:ext>
              </c:extLst>
            </c:dLbl>
            <c:dLbl>
              <c:idx val="2"/>
              <c:layout>
                <c:manualLayout>
                  <c:x val="-9.8480485895562547E-2"/>
                  <c:y val="-9.815859631719358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8D-4928-ADDA-D1A651A3223B}"/>
                </c:ext>
              </c:extLst>
            </c:dLbl>
            <c:dLbl>
              <c:idx val="3"/>
              <c:layout>
                <c:manualLayout>
                  <c:x val="-6.4089101270468962E-2"/>
                  <c:y val="-1.5548023074655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8D-4928-ADDA-D1A651A3223B}"/>
                </c:ext>
              </c:extLst>
            </c:dLbl>
            <c:dLbl>
              <c:idx val="4"/>
              <c:layout>
                <c:manualLayout>
                  <c:x val="3.3719932567095323E-2"/>
                  <c:y val="-9.4932936532539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8D-4928-ADDA-D1A651A32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'2024_rom'!$B$26:$B$30</c:f>
              <c:numCache>
                <c:formatCode>#,##0.00</c:formatCode>
                <c:ptCount val="5"/>
                <c:pt idx="0">
                  <c:v>0.71019900000000002</c:v>
                </c:pt>
                <c:pt idx="1">
                  <c:v>12.295590000000001</c:v>
                </c:pt>
                <c:pt idx="2">
                  <c:v>30.618798999999999</c:v>
                </c:pt>
                <c:pt idx="3">
                  <c:v>78.171704000000005</c:v>
                </c:pt>
                <c:pt idx="4">
                  <c:v>22.661000000000001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8D-4928-ADDA-D1A651A322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37782090230847126"/>
          <c:w val="0.18258472348476446"/>
          <c:h val="0.48315043296753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3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monedelor metalice LEI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   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24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cantitativ</a:t>
            </a:r>
            <a:endParaRPr lang="en-US" sz="1000" b="0" i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63142107236594"/>
          <c:y val="0.3509004534443953"/>
          <c:w val="0.65503948370090104"/>
          <c:h val="0.51292102015088414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92B-4A2D-B338-3E2EA7E2F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92B-4A2D-B338-3E2EA7E2F6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92B-4A2D-B338-3E2EA7E2F6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92B-4A2D-B338-3E2EA7E2F629}"/>
              </c:ext>
            </c:extLst>
          </c:dPt>
          <c:dLbls>
            <c:dLbl>
              <c:idx val="0"/>
              <c:layout>
                <c:manualLayout>
                  <c:x val="3.3436615877560652E-2"/>
                  <c:y val="0.10224341944596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279942279942272E-2"/>
                      <c:h val="0.1151803217013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92B-4A2D-B338-3E2EA7E2F629}"/>
                </c:ext>
              </c:extLst>
            </c:dLbl>
            <c:dLbl>
              <c:idx val="1"/>
              <c:layout>
                <c:manualLayout>
                  <c:x val="-4.5940393814409564E-2"/>
                  <c:y val="0.132439837763271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B-4A2D-B338-3E2EA7E2F629}"/>
                </c:ext>
              </c:extLst>
            </c:dLbl>
            <c:dLbl>
              <c:idx val="2"/>
              <c:layout>
                <c:manualLayout>
                  <c:x val="-0.10548931383577052"/>
                  <c:y val="-2.788031246081039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2B-4A2D-B338-3E2EA7E2F629}"/>
                </c:ext>
              </c:extLst>
            </c:dLbl>
            <c:dLbl>
              <c:idx val="3"/>
              <c:layout>
                <c:manualLayout>
                  <c:x val="0.12310802058833545"/>
                  <c:y val="-4.070851511811335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2B-4A2D-B338-3E2EA7E2F6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'2024_rom'!$D$21:$D$24</c:f>
              <c:numCache>
                <c:formatCode>#,##0.00</c:formatCode>
                <c:ptCount val="4"/>
                <c:pt idx="0">
                  <c:v>69.034632999999999</c:v>
                </c:pt>
                <c:pt idx="1">
                  <c:v>42.880206999999999</c:v>
                </c:pt>
                <c:pt idx="2">
                  <c:v>16.800785999999999</c:v>
                </c:pt>
                <c:pt idx="3">
                  <c:v>8.8963660000000004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2B-4A2D-B338-3E2EA7E2F6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10706616218432"/>
          <c:y val="0.54714097368438408"/>
          <c:w val="0.15334037790730703"/>
          <c:h val="0.36910670794088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4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monedelor metalice BANI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24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cantitativ</a:t>
            </a:r>
            <a:endParaRPr lang="en-US" sz="1000" b="0" i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81067139334856"/>
          <c:y val="0.3509004534443953"/>
          <c:w val="0.63851382213586927"/>
          <c:h val="0.523399083870712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BC-4B20-B847-17AA8E9E0C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BC-4B20-B847-17AA8E9E0C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BC-4B20-B847-17AA8E9E0C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BC-4B20-B847-17AA8E9E0C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ABC-4B20-B847-17AA8E9E0C02}"/>
              </c:ext>
            </c:extLst>
          </c:dPt>
          <c:dLbls>
            <c:dLbl>
              <c:idx val="0"/>
              <c:layout>
                <c:manualLayout>
                  <c:x val="5.1330174637261146E-2"/>
                  <c:y val="4.767023965889365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C-4B20-B847-17AA8E9E0C02}"/>
                </c:ext>
              </c:extLst>
            </c:dLbl>
            <c:dLbl>
              <c:idx val="1"/>
              <c:layout>
                <c:manualLayout>
                  <c:x val="-9.8598129779232144E-2"/>
                  <c:y val="-1.801938194274842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C-4B20-B847-17AA8E9E0C02}"/>
                </c:ext>
              </c:extLst>
            </c:dLbl>
            <c:dLbl>
              <c:idx val="2"/>
              <c:layout>
                <c:manualLayout>
                  <c:x val="-5.2919975912101895E-2"/>
                  <c:y val="-5.7730830918703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BC-4B20-B847-17AA8E9E0C02}"/>
                </c:ext>
              </c:extLst>
            </c:dLbl>
            <c:dLbl>
              <c:idx val="3"/>
              <c:layout>
                <c:manualLayout>
                  <c:x val="8.6105145947665634E-2"/>
                  <c:y val="-8.43228365686073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BC-4B20-B847-17AA8E9E0C02}"/>
                </c:ext>
              </c:extLst>
            </c:dLbl>
            <c:dLbl>
              <c:idx val="4"/>
              <c:layout>
                <c:manualLayout>
                  <c:x val="3.5174239583688295E-2"/>
                  <c:y val="-3.96681341456170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BC-4B20-B847-17AA8E9E0C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'2024_rom'!$D$26:$D$30</c:f>
              <c:numCache>
                <c:formatCode>#,##0.00</c:formatCode>
                <c:ptCount val="5"/>
                <c:pt idx="0">
                  <c:v>71.019900000000007</c:v>
                </c:pt>
                <c:pt idx="1">
                  <c:v>245.9118</c:v>
                </c:pt>
                <c:pt idx="2">
                  <c:v>306.18798999999996</c:v>
                </c:pt>
                <c:pt idx="3">
                  <c:v>312.68681600000002</c:v>
                </c:pt>
                <c:pt idx="4">
                  <c:v>45.322000000000003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BC-4B20-B847-17AA8E9E0C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56299212598427"/>
          <c:y val="0.36377485858739195"/>
          <c:w val="0.16777034120734907"/>
          <c:h val="0.48960444071891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11</xdr:col>
      <xdr:colOff>9525</xdr:colOff>
      <xdr:row>15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43B70C-25DB-462B-A37C-7724D996E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695324</xdr:colOff>
      <xdr:row>5</xdr:row>
      <xdr:rowOff>9524</xdr:rowOff>
    </xdr:from>
    <xdr:to>
      <xdr:col>11</xdr:col>
      <xdr:colOff>9524</xdr:colOff>
      <xdr:row>15</xdr:row>
      <xdr:rowOff>247649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7C7582-31AC-404C-9EC9-385EFF68C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10</xdr:col>
      <xdr:colOff>1019175</xdr:colOff>
      <xdr:row>16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22FE08-94FB-490B-BF0A-440394890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142875</xdr:rowOff>
    </xdr:from>
    <xdr:to>
      <xdr:col>7</xdr:col>
      <xdr:colOff>114300</xdr:colOff>
      <xdr:row>15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18</xdr:row>
      <xdr:rowOff>0</xdr:rowOff>
    </xdr:from>
    <xdr:to>
      <xdr:col>7</xdr:col>
      <xdr:colOff>128587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133350</xdr:colOff>
      <xdr:row>15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35</xdr:row>
      <xdr:rowOff>0</xdr:rowOff>
    </xdr:from>
    <xdr:to>
      <xdr:col>7</xdr:col>
      <xdr:colOff>109537</xdr:colOff>
      <xdr:row>49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133350</xdr:colOff>
      <xdr:row>32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35</xdr:row>
      <xdr:rowOff>0</xdr:rowOff>
    </xdr:from>
    <xdr:to>
      <xdr:col>17</xdr:col>
      <xdr:colOff>133350</xdr:colOff>
      <xdr:row>49</xdr:row>
      <xdr:rowOff>157162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EZA\SRACON\Pagina%20web\Date%20statistice%20Web\2023!\MN_circulatia_2023\Info_web\Volumul%20numerarului_circulatie_2019-2023_1.xlsx" TargetMode="External"/><Relationship Id="rId1" Type="http://schemas.openxmlformats.org/officeDocument/2006/relationships/externalLinkPath" Target="/TEZA/SRACON/Pagina%20web/Date%20statistice%20Web/2023!/MN_circulatia_2023/Info_web/Volumul%20numerarului_circulatie_2019-2023_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EZA\SRACON\Pagina%20web\Date%20statistice%20Web\2024!\MN_circulatia_2024\Info_web\Volumul%20numerarului_circulatie_2020-2024.xlsx" TargetMode="External"/><Relationship Id="rId1" Type="http://schemas.openxmlformats.org/officeDocument/2006/relationships/externalLinkPath" Target="file:///X:\TEZA\SRACON\Pagina%20web\Date%20statistice%20Web\2024!\MN_circulatia_2024\Info_web\Volumul%20numerarului_circulatie_2020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-2023 ROM"/>
      <sheetName val="2019-2023 ENG"/>
      <sheetName val="2019-2023 RUS"/>
    </sheetNames>
    <sheetDataSet>
      <sheetData sheetId="0">
        <row r="14">
          <cell r="A14" t="str">
            <v>Bancnote</v>
          </cell>
        </row>
        <row r="15">
          <cell r="A15" t="str">
            <v>Monede LEI</v>
          </cell>
        </row>
        <row r="16">
          <cell r="A16" t="str">
            <v>Monede BANI</v>
          </cell>
        </row>
        <row r="17">
          <cell r="A17" t="str">
            <v>Bancnote comemorative</v>
          </cell>
        </row>
        <row r="18">
          <cell r="A18" t="str">
            <v>Monede jubiliare și comemorative</v>
          </cell>
        </row>
      </sheetData>
      <sheetData sheetId="1">
        <row r="14">
          <cell r="A14" t="str">
            <v>Banknotes</v>
          </cell>
        </row>
        <row r="15">
          <cell r="A15" t="str">
            <v>Coins LEI</v>
          </cell>
        </row>
        <row r="16">
          <cell r="A16" t="str">
            <v>Coins BANI</v>
          </cell>
        </row>
        <row r="17">
          <cell r="A17" t="str">
            <v>Commemorative banknotes</v>
          </cell>
        </row>
        <row r="18">
          <cell r="A18" t="str">
            <v>Commemorative and jubilee coins</v>
          </cell>
        </row>
      </sheetData>
      <sheetData sheetId="2">
        <row r="14">
          <cell r="A14" t="str">
            <v>Банкноты</v>
          </cell>
        </row>
        <row r="15">
          <cell r="A15" t="str">
            <v>Монеты ЛЕЙ</v>
          </cell>
        </row>
        <row r="16">
          <cell r="A16" t="str">
            <v>Монеты БАНЬ</v>
          </cell>
        </row>
        <row r="17">
          <cell r="A17" t="str">
            <v>Памятные банкноты</v>
          </cell>
        </row>
        <row r="18">
          <cell r="A18" t="str">
            <v>Памятные и юбилейные монеты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0-2024 ROM"/>
      <sheetName val="2020-2024 ENG"/>
      <sheetName val="2020-2024 RUS"/>
    </sheetNames>
    <sheetDataSet>
      <sheetData sheetId="0">
        <row r="14">
          <cell r="A14" t="str">
            <v>Bancnote</v>
          </cell>
          <cell r="F14">
            <v>372.44</v>
          </cell>
        </row>
        <row r="15">
          <cell r="A15" t="str">
            <v>Monede LEI</v>
          </cell>
          <cell r="F15">
            <v>137.61000000000001</v>
          </cell>
        </row>
        <row r="16">
          <cell r="A16" t="str">
            <v>Monede BANI</v>
          </cell>
          <cell r="F16">
            <v>981.13</v>
          </cell>
        </row>
        <row r="17">
          <cell r="A17" t="str">
            <v>Bancnote comemorative</v>
          </cell>
          <cell r="F17">
            <v>4.6899999999999997E-2</v>
          </cell>
        </row>
        <row r="18">
          <cell r="A18" t="str">
            <v>Monede jubiliare și comemorative</v>
          </cell>
          <cell r="F18">
            <v>0.13</v>
          </cell>
        </row>
      </sheetData>
      <sheetData sheetId="1">
        <row r="14">
          <cell r="A14" t="str">
            <v>Banknotes</v>
          </cell>
          <cell r="F14">
            <v>372.44</v>
          </cell>
        </row>
        <row r="15">
          <cell r="A15" t="str">
            <v>Coins LEI</v>
          </cell>
          <cell r="F15">
            <v>137.61000000000001</v>
          </cell>
        </row>
        <row r="16">
          <cell r="A16" t="str">
            <v>Coins BANI</v>
          </cell>
          <cell r="F16">
            <v>981.13</v>
          </cell>
        </row>
        <row r="17">
          <cell r="A17" t="str">
            <v>Commemorative banknotes</v>
          </cell>
          <cell r="F17">
            <v>4.6899999999999997E-2</v>
          </cell>
        </row>
        <row r="18">
          <cell r="A18" t="str">
            <v>Commemorative and jubilee coins</v>
          </cell>
          <cell r="F18">
            <v>0.13</v>
          </cell>
        </row>
      </sheetData>
      <sheetData sheetId="2">
        <row r="14">
          <cell r="A14" t="str">
            <v>Банкноты</v>
          </cell>
        </row>
        <row r="15">
          <cell r="A15" t="str">
            <v>Монеты ЛЕЙ</v>
          </cell>
        </row>
        <row r="16">
          <cell r="A16" t="str">
            <v>Монеты БАНЬ</v>
          </cell>
        </row>
        <row r="17">
          <cell r="A17" t="str">
            <v>Памятные банкноты</v>
          </cell>
        </row>
        <row r="18">
          <cell r="A18" t="str">
            <v>Памятные и юбилейные монеты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Normal="100" workbookViewId="0">
      <selection activeCell="G9" sqref="G9"/>
    </sheetView>
  </sheetViews>
  <sheetFormatPr defaultRowHeight="15" x14ac:dyDescent="0.2"/>
  <cols>
    <col min="1" max="1" width="15.5703125" style="2" customWidth="1"/>
    <col min="2" max="2" width="24.7109375" style="2" customWidth="1"/>
    <col min="3" max="3" width="8.7109375" style="2" customWidth="1"/>
    <col min="4" max="4" width="24.7109375" style="2" customWidth="1"/>
    <col min="5" max="5" width="8.7109375" style="2" customWidth="1"/>
    <col min="6" max="6" width="24.7109375" style="2" customWidth="1"/>
    <col min="7" max="7" width="9.7109375" style="2" bestFit="1" customWidth="1"/>
    <col min="8" max="8" width="19.5703125" bestFit="1" customWidth="1"/>
    <col min="9" max="14" width="15.5703125" bestFit="1" customWidth="1"/>
    <col min="15" max="15" width="19.5703125" bestFit="1" customWidth="1"/>
    <col min="16" max="16" width="7.8554687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s="7" customFormat="1" ht="20.100000000000001" customHeight="1" x14ac:dyDescent="0.2">
      <c r="A2" s="161" t="s">
        <v>32</v>
      </c>
      <c r="B2" s="162"/>
      <c r="C2" s="162"/>
      <c r="D2" s="162"/>
      <c r="E2" s="162"/>
      <c r="F2" s="162"/>
    </row>
    <row r="3" spans="1:7" s="7" customFormat="1" ht="20.100000000000001" customHeight="1" x14ac:dyDescent="0.2">
      <c r="A3" s="161" t="s">
        <v>65</v>
      </c>
      <c r="B3" s="162"/>
      <c r="C3" s="162"/>
      <c r="D3" s="162"/>
      <c r="E3" s="162"/>
      <c r="F3" s="162"/>
    </row>
    <row r="4" spans="1:7" s="7" customFormat="1" ht="20.100000000000001" customHeight="1" thickBot="1" x14ac:dyDescent="0.3">
      <c r="A4" s="8"/>
      <c r="B4" s="8"/>
      <c r="C4" s="9">
        <f>SUM(C9:C17)</f>
        <v>99.027043145641287</v>
      </c>
      <c r="D4" s="8"/>
      <c r="E4" s="8"/>
      <c r="F4" s="8"/>
      <c r="G4" s="6"/>
    </row>
    <row r="5" spans="1:7" s="7" customFormat="1" ht="21" customHeight="1" x14ac:dyDescent="0.25">
      <c r="A5" s="163" t="s">
        <v>5</v>
      </c>
      <c r="B5" s="166" t="s">
        <v>18</v>
      </c>
      <c r="C5" s="169" t="s">
        <v>6</v>
      </c>
      <c r="D5" s="166" t="s">
        <v>25</v>
      </c>
      <c r="E5" s="174" t="s">
        <v>6</v>
      </c>
      <c r="F5" s="163" t="s">
        <v>26</v>
      </c>
      <c r="G5" s="6"/>
    </row>
    <row r="6" spans="1:7" s="7" customFormat="1" ht="15.75" customHeight="1" x14ac:dyDescent="0.25">
      <c r="A6" s="164"/>
      <c r="B6" s="167"/>
      <c r="C6" s="170"/>
      <c r="D6" s="172"/>
      <c r="E6" s="175"/>
      <c r="F6" s="177"/>
      <c r="G6" s="6"/>
    </row>
    <row r="7" spans="1:7" s="7" customFormat="1" ht="14.25" customHeight="1" x14ac:dyDescent="0.25">
      <c r="A7" s="165"/>
      <c r="B7" s="168"/>
      <c r="C7" s="171"/>
      <c r="D7" s="173"/>
      <c r="E7" s="176"/>
      <c r="F7" s="178"/>
      <c r="G7" s="6"/>
    </row>
    <row r="8" spans="1:7" s="11" customFormat="1" ht="20.100000000000001" customHeight="1" x14ac:dyDescent="0.2">
      <c r="A8" s="158" t="s">
        <v>7</v>
      </c>
      <c r="B8" s="159"/>
      <c r="C8" s="159"/>
      <c r="D8" s="159"/>
      <c r="E8" s="159"/>
      <c r="F8" s="160"/>
      <c r="G8" s="10"/>
    </row>
    <row r="9" spans="1:7" s="7" customFormat="1" ht="20.100000000000001" customHeight="1" x14ac:dyDescent="0.2">
      <c r="A9" s="156" t="s">
        <v>35</v>
      </c>
      <c r="B9" s="39">
        <v>75.827720999999997</v>
      </c>
      <c r="C9" s="40">
        <f>B9*$C$18/$B$18</f>
        <v>0.15623461943587433</v>
      </c>
      <c r="D9" s="41">
        <f>B9/1</f>
        <v>75.827720999999997</v>
      </c>
      <c r="E9" s="42">
        <f>D9*$E$18/$D$18</f>
        <v>20.359853054204134</v>
      </c>
      <c r="F9" s="57">
        <f>D9/$G$9</f>
        <v>31.842659443797046</v>
      </c>
      <c r="G9" s="126">
        <v>2.3813249999999999</v>
      </c>
    </row>
    <row r="10" spans="1:7" s="7" customFormat="1" ht="20.100000000000001" customHeight="1" x14ac:dyDescent="0.25">
      <c r="A10" s="25" t="s">
        <v>36</v>
      </c>
      <c r="B10" s="44">
        <v>58.860664999999997</v>
      </c>
      <c r="C10" s="132">
        <f t="shared" ref="C10:C17" si="0">B10*$C$18/$B$18</f>
        <v>0.12127588004415281</v>
      </c>
      <c r="D10" s="54">
        <f>B10/5</f>
        <v>11.772133</v>
      </c>
      <c r="E10" s="58">
        <f t="shared" ref="E10:E17" si="1">D10*$E$18/$D$18</f>
        <v>3.1608347825005487</v>
      </c>
      <c r="F10" s="144">
        <f t="shared" ref="F10:F17" si="2">D10/$G$9</f>
        <v>4.9435221987758915</v>
      </c>
      <c r="G10" s="6"/>
    </row>
    <row r="11" spans="1:7" s="7" customFormat="1" ht="20.100000000000001" customHeight="1" x14ac:dyDescent="0.25">
      <c r="A11" s="25" t="s">
        <v>37</v>
      </c>
      <c r="B11" s="44">
        <v>159.19065000000001</v>
      </c>
      <c r="C11" s="132">
        <f t="shared" si="0"/>
        <v>0.32799470025611699</v>
      </c>
      <c r="D11" s="54">
        <f>B11/10</f>
        <v>15.919065</v>
      </c>
      <c r="E11" s="58">
        <f t="shared" si="1"/>
        <v>4.2742920384001009</v>
      </c>
      <c r="F11" s="144">
        <f t="shared" si="2"/>
        <v>6.6849611035872885</v>
      </c>
      <c r="G11" s="6"/>
    </row>
    <row r="12" spans="1:7" s="7" customFormat="1" ht="20.100000000000001" customHeight="1" x14ac:dyDescent="0.25">
      <c r="A12" s="25" t="s">
        <v>38</v>
      </c>
      <c r="B12" s="44">
        <v>284.88549999999998</v>
      </c>
      <c r="C12" s="132">
        <f t="shared" si="0"/>
        <v>0.58697501505153726</v>
      </c>
      <c r="D12" s="54">
        <f>B12/20</f>
        <v>14.244274999999998</v>
      </c>
      <c r="E12" s="58">
        <f t="shared" si="1"/>
        <v>3.8246084946120629</v>
      </c>
      <c r="F12" s="144">
        <f t="shared" si="2"/>
        <v>5.9816593703085461</v>
      </c>
      <c r="G12" s="6"/>
    </row>
    <row r="13" spans="1:7" s="7" customFormat="1" ht="20.100000000000001" customHeight="1" x14ac:dyDescent="0.25">
      <c r="A13" s="25" t="s">
        <v>39</v>
      </c>
      <c r="B13" s="44">
        <v>2442.3744000000002</v>
      </c>
      <c r="C13" s="132">
        <f t="shared" si="0"/>
        <v>5.0322419014007016</v>
      </c>
      <c r="D13" s="54">
        <f>B13/50</f>
        <v>48.847488000000006</v>
      </c>
      <c r="E13" s="58">
        <f t="shared" si="1"/>
        <v>13.115621366848144</v>
      </c>
      <c r="F13" s="144">
        <f>D13/$G$9</f>
        <v>20.512734717016791</v>
      </c>
      <c r="G13" s="6"/>
    </row>
    <row r="14" spans="1:7" s="7" customFormat="1" ht="20.100000000000001" customHeight="1" x14ac:dyDescent="0.25">
      <c r="A14" s="25" t="s">
        <v>40</v>
      </c>
      <c r="B14" s="44">
        <v>6818.1786000000002</v>
      </c>
      <c r="C14" s="132">
        <f t="shared" si="0"/>
        <v>14.048101733359788</v>
      </c>
      <c r="D14" s="54">
        <f>B14/100</f>
        <v>68.181786000000002</v>
      </c>
      <c r="E14" s="58">
        <f t="shared" si="1"/>
        <v>18.306908418534597</v>
      </c>
      <c r="F14" s="144">
        <f t="shared" si="2"/>
        <v>28.631869232465121</v>
      </c>
      <c r="G14" s="6"/>
    </row>
    <row r="15" spans="1:7" s="7" customFormat="1" ht="20.100000000000001" customHeight="1" x14ac:dyDescent="0.25">
      <c r="A15" s="25" t="s">
        <v>41</v>
      </c>
      <c r="B15" s="44">
        <v>22922.98</v>
      </c>
      <c r="C15" s="132">
        <f t="shared" si="0"/>
        <v>47.23026103654307</v>
      </c>
      <c r="D15" s="54">
        <f>B15/200</f>
        <v>114.61489999999999</v>
      </c>
      <c r="E15" s="58">
        <f t="shared" si="1"/>
        <v>30.774266865046638</v>
      </c>
      <c r="F15" s="144">
        <f t="shared" si="2"/>
        <v>48.130725541452762</v>
      </c>
      <c r="G15" s="6"/>
    </row>
    <row r="16" spans="1:7" s="7" customFormat="1" ht="20.100000000000001" customHeight="1" x14ac:dyDescent="0.25">
      <c r="A16" s="25" t="s">
        <v>42</v>
      </c>
      <c r="B16" s="44">
        <v>7730.0974999999999</v>
      </c>
      <c r="C16" s="132">
        <f t="shared" si="0"/>
        <v>15.927009610571092</v>
      </c>
      <c r="D16" s="54">
        <f>B16/500</f>
        <v>15.460195000000001</v>
      </c>
      <c r="E16" s="58">
        <f t="shared" si="1"/>
        <v>4.1510847779447504</v>
      </c>
      <c r="F16" s="144">
        <f t="shared" si="2"/>
        <v>6.4922658603928491</v>
      </c>
      <c r="G16" s="6"/>
    </row>
    <row r="17" spans="1:9" s="7" customFormat="1" ht="20.100000000000001" customHeight="1" x14ac:dyDescent="0.25">
      <c r="A17" s="28" t="s">
        <v>43</v>
      </c>
      <c r="B17" s="45">
        <v>7569.9040000000005</v>
      </c>
      <c r="C17" s="46">
        <f t="shared" si="0"/>
        <v>15.596948648978952</v>
      </c>
      <c r="D17" s="47">
        <f>B17/1000</f>
        <v>7.5699040000000002</v>
      </c>
      <c r="E17" s="48">
        <f t="shared" si="1"/>
        <v>2.0325302019090365</v>
      </c>
      <c r="F17" s="59">
        <f t="shared" si="2"/>
        <v>3.1788621880675678</v>
      </c>
      <c r="G17" s="6"/>
      <c r="I17" s="151"/>
    </row>
    <row r="18" spans="1:9" s="65" customFormat="1" ht="20.100000000000001" customHeight="1" x14ac:dyDescent="0.25">
      <c r="A18" s="157" t="s">
        <v>29</v>
      </c>
      <c r="B18" s="69">
        <f>SUM(B9:B17)</f>
        <v>48062.299036000004</v>
      </c>
      <c r="C18" s="70">
        <f>B18/($B$18+$B$25+$B$31)*100</f>
        <v>99.027043145641287</v>
      </c>
      <c r="D18" s="71">
        <f>SUM(D9:D17)</f>
        <v>372.43746699999997</v>
      </c>
      <c r="E18" s="72">
        <v>100</v>
      </c>
      <c r="F18" s="73">
        <f>SUM(F9:F17)</f>
        <v>156.39925965586386</v>
      </c>
      <c r="G18" s="64"/>
      <c r="I18" s="152"/>
    </row>
    <row r="19" spans="1:9" s="65" customFormat="1" ht="30.75" customHeight="1" x14ac:dyDescent="0.25">
      <c r="A19" s="74" t="s">
        <v>8</v>
      </c>
      <c r="B19" s="75">
        <v>9.3789999999999996</v>
      </c>
      <c r="C19" s="76"/>
      <c r="D19" s="77">
        <f>SUM(B19/200)</f>
        <v>4.6894999999999999E-2</v>
      </c>
      <c r="E19" s="78"/>
      <c r="F19" s="79"/>
      <c r="G19" s="64"/>
      <c r="I19" s="152"/>
    </row>
    <row r="20" spans="1:9" s="7" customFormat="1" ht="20.100000000000001" customHeight="1" x14ac:dyDescent="0.25">
      <c r="A20" s="158" t="s">
        <v>9</v>
      </c>
      <c r="B20" s="159"/>
      <c r="C20" s="159"/>
      <c r="D20" s="159"/>
      <c r="E20" s="159"/>
      <c r="F20" s="160"/>
      <c r="G20" s="6"/>
      <c r="I20" s="151"/>
    </row>
    <row r="21" spans="1:9" s="7" customFormat="1" ht="20.100000000000001" customHeight="1" x14ac:dyDescent="0.25">
      <c r="A21" s="33" t="s">
        <v>35</v>
      </c>
      <c r="B21" s="50">
        <v>69.034632999999999</v>
      </c>
      <c r="C21" s="51">
        <f>B21*$C$25/$B$25</f>
        <v>0.1422382141044467</v>
      </c>
      <c r="D21" s="47">
        <f>B21/1</f>
        <v>69.034632999999999</v>
      </c>
      <c r="E21" s="48">
        <f>D21*$E$25/$D$25</f>
        <v>50.166146130636648</v>
      </c>
      <c r="F21" s="138">
        <f>D21/$G$9</f>
        <v>28.990008923603458</v>
      </c>
      <c r="G21" s="6"/>
      <c r="I21" s="151"/>
    </row>
    <row r="22" spans="1:9" s="7" customFormat="1" ht="20.100000000000001" customHeight="1" x14ac:dyDescent="0.25">
      <c r="A22" s="35" t="s">
        <v>44</v>
      </c>
      <c r="B22" s="50">
        <v>85.760413999999997</v>
      </c>
      <c r="C22" s="135">
        <f t="shared" ref="C22:C24" si="3">B22*$C$25/$B$25</f>
        <v>0.17669983308548895</v>
      </c>
      <c r="D22" s="154">
        <f>B22/2</f>
        <v>42.880206999999999</v>
      </c>
      <c r="E22" s="58">
        <f t="shared" ref="E22:E24" si="4">D22*$E$25/$D$25</f>
        <v>31.160225483837198</v>
      </c>
      <c r="F22" s="140">
        <f t="shared" ref="F22:F24" si="5">D22/$G$9</f>
        <v>18.006868865022625</v>
      </c>
      <c r="G22" s="6"/>
      <c r="I22" s="151"/>
    </row>
    <row r="23" spans="1:9" s="7" customFormat="1" ht="20.100000000000001" customHeight="1" x14ac:dyDescent="0.25">
      <c r="A23" s="35" t="s">
        <v>36</v>
      </c>
      <c r="B23" s="50">
        <v>84.003929999999997</v>
      </c>
      <c r="C23" s="135">
        <f t="shared" si="3"/>
        <v>0.17308079237496565</v>
      </c>
      <c r="D23" s="54">
        <f>B23/5</f>
        <v>16.800785999999999</v>
      </c>
      <c r="E23" s="58">
        <f t="shared" si="4"/>
        <v>12.2088095345644</v>
      </c>
      <c r="F23" s="140">
        <f t="shared" si="5"/>
        <v>7.0552259771345778</v>
      </c>
      <c r="G23" s="6"/>
      <c r="I23" s="151"/>
    </row>
    <row r="24" spans="1:9" s="7" customFormat="1" ht="20.100000000000001" customHeight="1" x14ac:dyDescent="0.25">
      <c r="A24" s="37" t="s">
        <v>37</v>
      </c>
      <c r="B24" s="50">
        <v>88.963660000000004</v>
      </c>
      <c r="C24" s="62">
        <f t="shared" si="3"/>
        <v>0.18329976663445438</v>
      </c>
      <c r="D24" s="47">
        <f>B24/10</f>
        <v>8.8963660000000004</v>
      </c>
      <c r="E24" s="48">
        <f t="shared" si="4"/>
        <v>6.4648188509617688</v>
      </c>
      <c r="F24" s="139">
        <f t="shared" si="5"/>
        <v>3.7358890533631488</v>
      </c>
      <c r="G24" s="6"/>
      <c r="I24" s="151"/>
    </row>
    <row r="25" spans="1:9" s="65" customFormat="1" ht="20.100000000000001" customHeight="1" x14ac:dyDescent="0.25">
      <c r="A25" s="68" t="s">
        <v>29</v>
      </c>
      <c r="B25" s="69">
        <f>SUM(B21:B24)</f>
        <v>327.76263700000004</v>
      </c>
      <c r="C25" s="70">
        <f>B25/($B$18+$B$25+$B$31)*100</f>
        <v>0.6753186061993558</v>
      </c>
      <c r="D25" s="71">
        <f>SUM(D21:D24)</f>
        <v>137.61199199999999</v>
      </c>
      <c r="E25" s="72">
        <v>100</v>
      </c>
      <c r="F25" s="73">
        <f>SUM(F21:F24)</f>
        <v>57.787992819123801</v>
      </c>
      <c r="G25" s="64"/>
      <c r="I25" s="152"/>
    </row>
    <row r="26" spans="1:9" s="7" customFormat="1" ht="20.100000000000001" customHeight="1" x14ac:dyDescent="0.25">
      <c r="A26" s="49" t="s">
        <v>45</v>
      </c>
      <c r="B26" s="50">
        <v>0.71019900000000002</v>
      </c>
      <c r="C26" s="60">
        <f>B26*$C$31/$B$31</f>
        <v>1.4632863684342894E-3</v>
      </c>
      <c r="D26" s="47">
        <f>B26/0.01</f>
        <v>71.019900000000007</v>
      </c>
      <c r="E26" s="48">
        <f>D26*$E$31/$D$31</f>
        <v>7.2385930656060262</v>
      </c>
      <c r="F26" s="138">
        <f>D26/$G$9</f>
        <v>29.823690592422288</v>
      </c>
      <c r="G26" s="6"/>
      <c r="I26" s="151"/>
    </row>
    <row r="27" spans="1:9" s="7" customFormat="1" ht="20.100000000000001" customHeight="1" x14ac:dyDescent="0.25">
      <c r="A27" s="53" t="s">
        <v>46</v>
      </c>
      <c r="B27" s="50">
        <v>12.295590000000001</v>
      </c>
      <c r="C27" s="135">
        <f t="shared" ref="C27:C30" si="6">B27*$C$31/$B$31</f>
        <v>2.5333701172286876E-2</v>
      </c>
      <c r="D27" s="54">
        <f>B27/0.05</f>
        <v>245.9118</v>
      </c>
      <c r="E27" s="58">
        <f t="shared" ref="E27:E30" si="7">D27*$E$31/$D$31</f>
        <v>25.06417849406569</v>
      </c>
      <c r="F27" s="140">
        <f t="shared" ref="F27:F30" si="8">D27/$G$9</f>
        <v>103.26679474662215</v>
      </c>
      <c r="G27" s="6"/>
      <c r="I27" s="151"/>
    </row>
    <row r="28" spans="1:9" s="7" customFormat="1" ht="20.100000000000001" customHeight="1" x14ac:dyDescent="0.25">
      <c r="A28" s="53" t="s">
        <v>47</v>
      </c>
      <c r="B28" s="50">
        <v>30.618798999999999</v>
      </c>
      <c r="C28" s="135">
        <f t="shared" si="6"/>
        <v>6.3086643595005709E-2</v>
      </c>
      <c r="D28" s="47">
        <f>B28/0.1</f>
        <v>306.18798999999996</v>
      </c>
      <c r="E28" s="58">
        <f t="shared" si="7"/>
        <v>31.207735595035288</v>
      </c>
      <c r="F28" s="140">
        <f t="shared" si="8"/>
        <v>128.57883321260221</v>
      </c>
      <c r="G28" s="6"/>
      <c r="I28" s="151"/>
    </row>
    <row r="29" spans="1:9" s="7" customFormat="1" ht="20.100000000000001" customHeight="1" x14ac:dyDescent="0.25">
      <c r="A29" s="53" t="s">
        <v>48</v>
      </c>
      <c r="B29" s="50">
        <v>78.171704000000005</v>
      </c>
      <c r="C29" s="135">
        <f t="shared" si="6"/>
        <v>0.16106413675671219</v>
      </c>
      <c r="D29" s="54">
        <f>B29/0.25</f>
        <v>312.68681600000002</v>
      </c>
      <c r="E29" s="58">
        <f t="shared" si="7"/>
        <v>31.870118347167871</v>
      </c>
      <c r="F29" s="140">
        <f t="shared" si="8"/>
        <v>131.30791303161055</v>
      </c>
      <c r="G29" s="6"/>
      <c r="H29" s="148"/>
      <c r="I29" s="151"/>
    </row>
    <row r="30" spans="1:9" s="7" customFormat="1" ht="20.100000000000001" customHeight="1" x14ac:dyDescent="0.25">
      <c r="A30" s="61" t="s">
        <v>49</v>
      </c>
      <c r="B30" s="56">
        <v>22.661000000000001</v>
      </c>
      <c r="C30" s="62">
        <f t="shared" si="6"/>
        <v>4.6690480266924392E-2</v>
      </c>
      <c r="D30" s="47">
        <f>B30/0.5</f>
        <v>45.322000000000003</v>
      </c>
      <c r="E30" s="48">
        <f t="shared" si="7"/>
        <v>4.6193744981251221</v>
      </c>
      <c r="F30" s="139">
        <f t="shared" si="8"/>
        <v>19.032261451082906</v>
      </c>
      <c r="G30" s="6"/>
      <c r="H30" s="148"/>
      <c r="I30" s="151"/>
    </row>
    <row r="31" spans="1:9" s="67" customFormat="1" ht="20.100000000000001" customHeight="1" x14ac:dyDescent="0.25">
      <c r="A31" s="80" t="s">
        <v>29</v>
      </c>
      <c r="B31" s="81">
        <f>SUM(B26:B30)</f>
        <v>144.457292</v>
      </c>
      <c r="C31" s="70">
        <f>B31/($B$18+$B$25+$B$31)*100</f>
        <v>0.29763824815936341</v>
      </c>
      <c r="D31" s="71">
        <f>SUM(D26:D30)</f>
        <v>981.12850600000002</v>
      </c>
      <c r="E31" s="72">
        <v>100</v>
      </c>
      <c r="F31" s="83">
        <f>SUM(F26:F30)</f>
        <v>412.0094930343401</v>
      </c>
      <c r="G31" s="66"/>
      <c r="I31" s="153"/>
    </row>
    <row r="32" spans="1:9" s="67" customFormat="1" ht="30" customHeight="1" x14ac:dyDescent="0.25">
      <c r="A32" s="84" t="s">
        <v>17</v>
      </c>
      <c r="B32" s="85">
        <v>8.2518899999999995</v>
      </c>
      <c r="C32" s="86"/>
      <c r="D32" s="87">
        <v>0.130244</v>
      </c>
      <c r="E32" s="88"/>
      <c r="F32" s="89"/>
      <c r="G32" s="66"/>
      <c r="I32" s="153"/>
    </row>
    <row r="33" spans="1:9" s="65" customFormat="1" ht="21" customHeight="1" thickBot="1" x14ac:dyDescent="0.3">
      <c r="A33" s="90" t="s">
        <v>30</v>
      </c>
      <c r="B33" s="121">
        <f>B18+B19+B25+B31+B32</f>
        <v>48552.149855000003</v>
      </c>
      <c r="C33" s="122">
        <v>100</v>
      </c>
      <c r="D33" s="121"/>
      <c r="E33" s="123"/>
      <c r="F33" s="145"/>
      <c r="G33" s="64"/>
      <c r="I33" s="149"/>
    </row>
    <row r="34" spans="1:9" x14ac:dyDescent="0.2">
      <c r="I34" s="150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D5:D7"/>
    <mergeCell ref="E5:E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zoomScaleNormal="100" workbookViewId="0">
      <selection activeCell="L17" sqref="L17"/>
    </sheetView>
  </sheetViews>
  <sheetFormatPr defaultRowHeight="15" x14ac:dyDescent="0.2"/>
  <cols>
    <col min="1" max="1" width="15.7109375" style="2" customWidth="1"/>
    <col min="2" max="2" width="24.7109375" style="2" customWidth="1"/>
    <col min="3" max="3" width="8.7109375" style="2" customWidth="1"/>
    <col min="4" max="4" width="24.7109375" style="2" customWidth="1"/>
    <col min="5" max="5" width="8.7109375" style="2" customWidth="1"/>
    <col min="6" max="6" width="24.7109375" style="2" customWidth="1"/>
    <col min="7" max="7" width="10.42578125" style="2" customWidth="1"/>
    <col min="8" max="8" width="19.5703125" bestFit="1" customWidth="1"/>
    <col min="9" max="14" width="15.5703125" bestFit="1" customWidth="1"/>
    <col min="15" max="15" width="19.5703125" bestFit="1" customWidth="1"/>
    <col min="16" max="16" width="7.8554687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s="7" customFormat="1" ht="20.100000000000001" customHeight="1" x14ac:dyDescent="0.25">
      <c r="A2" s="184" t="s">
        <v>33</v>
      </c>
      <c r="B2" s="185"/>
      <c r="C2" s="185"/>
      <c r="D2" s="185"/>
      <c r="E2" s="185"/>
      <c r="F2" s="185"/>
      <c r="G2" s="6"/>
    </row>
    <row r="3" spans="1:7" s="7" customFormat="1" ht="20.100000000000001" customHeight="1" x14ac:dyDescent="0.25">
      <c r="A3" s="184" t="s">
        <v>66</v>
      </c>
      <c r="B3" s="185"/>
      <c r="C3" s="185"/>
      <c r="D3" s="185"/>
      <c r="E3" s="185"/>
      <c r="F3" s="185"/>
      <c r="G3" s="6"/>
    </row>
    <row r="4" spans="1:7" s="7" customFormat="1" ht="20.100000000000001" customHeight="1" thickBot="1" x14ac:dyDescent="0.3">
      <c r="A4" s="12"/>
      <c r="B4" s="13"/>
      <c r="C4" s="13"/>
      <c r="D4" s="13"/>
      <c r="E4" s="13"/>
      <c r="F4" s="13"/>
      <c r="G4" s="6"/>
    </row>
    <row r="5" spans="1:7" s="7" customFormat="1" ht="16.5" customHeight="1" x14ac:dyDescent="0.25">
      <c r="A5" s="186" t="s">
        <v>0</v>
      </c>
      <c r="B5" s="189" t="s">
        <v>21</v>
      </c>
      <c r="C5" s="192" t="s">
        <v>1</v>
      </c>
      <c r="D5" s="189" t="s">
        <v>24</v>
      </c>
      <c r="E5" s="195" t="s">
        <v>2</v>
      </c>
      <c r="F5" s="200" t="s">
        <v>28</v>
      </c>
      <c r="G5" s="6"/>
    </row>
    <row r="6" spans="1:7" s="7" customFormat="1" ht="15.75" customHeight="1" x14ac:dyDescent="0.25">
      <c r="A6" s="187"/>
      <c r="B6" s="190"/>
      <c r="C6" s="193"/>
      <c r="D6" s="198"/>
      <c r="E6" s="196"/>
      <c r="F6" s="201"/>
      <c r="G6" s="6"/>
    </row>
    <row r="7" spans="1:7" s="7" customFormat="1" ht="14.25" customHeight="1" x14ac:dyDescent="0.25">
      <c r="A7" s="188"/>
      <c r="B7" s="191"/>
      <c r="C7" s="194"/>
      <c r="D7" s="199"/>
      <c r="E7" s="197"/>
      <c r="F7" s="202"/>
      <c r="G7" s="6"/>
    </row>
    <row r="8" spans="1:7" s="11" customFormat="1" ht="20.100000000000001" customHeight="1" x14ac:dyDescent="0.2">
      <c r="A8" s="179" t="s">
        <v>3</v>
      </c>
      <c r="B8" s="180"/>
      <c r="C8" s="180"/>
      <c r="D8" s="180"/>
      <c r="E8" s="180"/>
      <c r="F8" s="181"/>
      <c r="G8" s="10"/>
    </row>
    <row r="9" spans="1:7" s="7" customFormat="1" ht="20.100000000000001" customHeight="1" x14ac:dyDescent="0.2">
      <c r="A9" s="156" t="s">
        <v>35</v>
      </c>
      <c r="B9" s="39">
        <v>75.827720999999997</v>
      </c>
      <c r="C9" s="40">
        <f>B9*$C$18/$B$18</f>
        <v>0.15623461943587433</v>
      </c>
      <c r="D9" s="41">
        <f>B9/1</f>
        <v>75.827720999999997</v>
      </c>
      <c r="E9" s="42">
        <f>D9*$E$18/$D$18</f>
        <v>20.359853054204134</v>
      </c>
      <c r="F9" s="43">
        <f>D9/$G$9</f>
        <v>31.842659443797046</v>
      </c>
      <c r="G9" s="126">
        <v>2.3813249999999999</v>
      </c>
    </row>
    <row r="10" spans="1:7" s="7" customFormat="1" ht="20.100000000000001" customHeight="1" x14ac:dyDescent="0.25">
      <c r="A10" s="25" t="s">
        <v>36</v>
      </c>
      <c r="B10" s="44">
        <v>58.860664999999997</v>
      </c>
      <c r="C10" s="132">
        <f t="shared" ref="C10:C17" si="0">B10*$C$18/$B$18</f>
        <v>0.12127588004415281</v>
      </c>
      <c r="D10" s="54">
        <f>B10/5</f>
        <v>11.772133</v>
      </c>
      <c r="E10" s="58">
        <f t="shared" ref="E10:E17" si="1">D10*$E$18/$D$18</f>
        <v>3.1608347825005487</v>
      </c>
      <c r="F10" s="134">
        <f t="shared" ref="F10:F17" si="2">D10/$G$9</f>
        <v>4.9435221987758915</v>
      </c>
      <c r="G10" s="6"/>
    </row>
    <row r="11" spans="1:7" s="7" customFormat="1" ht="20.100000000000001" customHeight="1" x14ac:dyDescent="0.25">
      <c r="A11" s="25" t="s">
        <v>37</v>
      </c>
      <c r="B11" s="44">
        <v>159.19065000000001</v>
      </c>
      <c r="C11" s="132">
        <f t="shared" si="0"/>
        <v>0.32799470025611699</v>
      </c>
      <c r="D11" s="54">
        <f>B11/10</f>
        <v>15.919065</v>
      </c>
      <c r="E11" s="58">
        <f t="shared" si="1"/>
        <v>4.2742920384001009</v>
      </c>
      <c r="F11" s="134">
        <f t="shared" si="2"/>
        <v>6.6849611035872885</v>
      </c>
      <c r="G11" s="6"/>
    </row>
    <row r="12" spans="1:7" s="7" customFormat="1" ht="20.100000000000001" customHeight="1" x14ac:dyDescent="0.25">
      <c r="A12" s="25" t="s">
        <v>38</v>
      </c>
      <c r="B12" s="44">
        <v>284.88549999999998</v>
      </c>
      <c r="C12" s="132">
        <f t="shared" si="0"/>
        <v>0.58697501505153726</v>
      </c>
      <c r="D12" s="54">
        <f>B12/20</f>
        <v>14.244274999999998</v>
      </c>
      <c r="E12" s="58">
        <f t="shared" si="1"/>
        <v>3.8246084946120629</v>
      </c>
      <c r="F12" s="134">
        <f t="shared" si="2"/>
        <v>5.9816593703085461</v>
      </c>
      <c r="G12" s="6"/>
    </row>
    <row r="13" spans="1:7" s="7" customFormat="1" ht="20.100000000000001" customHeight="1" x14ac:dyDescent="0.25">
      <c r="A13" s="25" t="s">
        <v>39</v>
      </c>
      <c r="B13" s="44">
        <v>2442.3744000000002</v>
      </c>
      <c r="C13" s="132">
        <f t="shared" si="0"/>
        <v>5.0322419014007016</v>
      </c>
      <c r="D13" s="54">
        <f>B13/50</f>
        <v>48.847488000000006</v>
      </c>
      <c r="E13" s="58">
        <f t="shared" si="1"/>
        <v>13.115621366848144</v>
      </c>
      <c r="F13" s="134">
        <f t="shared" si="2"/>
        <v>20.512734717016791</v>
      </c>
      <c r="G13" s="6"/>
    </row>
    <row r="14" spans="1:7" s="7" customFormat="1" ht="20.100000000000001" customHeight="1" x14ac:dyDescent="0.25">
      <c r="A14" s="25" t="s">
        <v>40</v>
      </c>
      <c r="B14" s="44">
        <v>6818.1786000000002</v>
      </c>
      <c r="C14" s="132">
        <f t="shared" si="0"/>
        <v>14.048101733359788</v>
      </c>
      <c r="D14" s="54">
        <f>B14/100</f>
        <v>68.181786000000002</v>
      </c>
      <c r="E14" s="58">
        <f t="shared" si="1"/>
        <v>18.306908418534597</v>
      </c>
      <c r="F14" s="134">
        <f t="shared" si="2"/>
        <v>28.631869232465121</v>
      </c>
      <c r="G14" s="6"/>
    </row>
    <row r="15" spans="1:7" s="7" customFormat="1" ht="20.100000000000001" customHeight="1" x14ac:dyDescent="0.25">
      <c r="A15" s="25" t="s">
        <v>41</v>
      </c>
      <c r="B15" s="44">
        <v>22922.98</v>
      </c>
      <c r="C15" s="132">
        <f t="shared" si="0"/>
        <v>47.23026103654307</v>
      </c>
      <c r="D15" s="54">
        <f>B15/200</f>
        <v>114.61489999999999</v>
      </c>
      <c r="E15" s="58">
        <f t="shared" si="1"/>
        <v>30.774266865046638</v>
      </c>
      <c r="F15" s="134">
        <f t="shared" si="2"/>
        <v>48.130725541452762</v>
      </c>
      <c r="G15" s="6"/>
    </row>
    <row r="16" spans="1:7" s="7" customFormat="1" ht="20.100000000000001" customHeight="1" x14ac:dyDescent="0.25">
      <c r="A16" s="25" t="s">
        <v>42</v>
      </c>
      <c r="B16" s="44">
        <v>7730.0974999999999</v>
      </c>
      <c r="C16" s="132">
        <f t="shared" si="0"/>
        <v>15.927009610571092</v>
      </c>
      <c r="D16" s="54">
        <f>B16/500</f>
        <v>15.460195000000001</v>
      </c>
      <c r="E16" s="58">
        <f t="shared" si="1"/>
        <v>4.1510847779447504</v>
      </c>
      <c r="F16" s="134">
        <f t="shared" si="2"/>
        <v>6.4922658603928491</v>
      </c>
      <c r="G16" s="6"/>
    </row>
    <row r="17" spans="1:7" s="7" customFormat="1" ht="20.100000000000001" customHeight="1" x14ac:dyDescent="0.25">
      <c r="A17" s="28" t="s">
        <v>43</v>
      </c>
      <c r="B17" s="45">
        <v>7569.9040000000005</v>
      </c>
      <c r="C17" s="46">
        <f t="shared" si="0"/>
        <v>15.596948648978952</v>
      </c>
      <c r="D17" s="47">
        <f>B17/1000</f>
        <v>7.5699040000000002</v>
      </c>
      <c r="E17" s="48">
        <f t="shared" si="1"/>
        <v>2.0325302019090365</v>
      </c>
      <c r="F17" s="133">
        <f t="shared" si="2"/>
        <v>3.1788621880675678</v>
      </c>
      <c r="G17" s="6"/>
    </row>
    <row r="18" spans="1:7" s="65" customFormat="1" ht="20.100000000000001" customHeight="1" x14ac:dyDescent="0.25">
      <c r="A18" s="91" t="s">
        <v>29</v>
      </c>
      <c r="B18" s="69">
        <f>SUM(B9:B17)</f>
        <v>48062.299036000004</v>
      </c>
      <c r="C18" s="70">
        <f>B18/($B$18+$B$25+$B$31)*100</f>
        <v>99.027043145641287</v>
      </c>
      <c r="D18" s="71">
        <f>SUM(D9:D17)</f>
        <v>372.43746699999997</v>
      </c>
      <c r="E18" s="72">
        <v>100</v>
      </c>
      <c r="F18" s="92">
        <f>SUM(F9:F17)</f>
        <v>156.39925965586386</v>
      </c>
      <c r="G18" s="64"/>
    </row>
    <row r="19" spans="1:7" s="65" customFormat="1" ht="30" customHeight="1" x14ac:dyDescent="0.25">
      <c r="A19" s="93" t="s">
        <v>19</v>
      </c>
      <c r="B19" s="75">
        <v>9.3789999999999996</v>
      </c>
      <c r="C19" s="76"/>
      <c r="D19" s="77">
        <f>SUM(B19/200)</f>
        <v>4.6894999999999999E-2</v>
      </c>
      <c r="E19" s="78"/>
      <c r="F19" s="94"/>
      <c r="G19" s="64"/>
    </row>
    <row r="20" spans="1:7" s="7" customFormat="1" ht="20.100000000000001" customHeight="1" x14ac:dyDescent="0.25">
      <c r="A20" s="182" t="s">
        <v>4</v>
      </c>
      <c r="B20" s="159"/>
      <c r="C20" s="159"/>
      <c r="D20" s="159"/>
      <c r="E20" s="159"/>
      <c r="F20" s="183"/>
      <c r="G20" s="6"/>
    </row>
    <row r="21" spans="1:7" s="7" customFormat="1" ht="20.100000000000001" customHeight="1" x14ac:dyDescent="0.25">
      <c r="A21" s="33" t="s">
        <v>35</v>
      </c>
      <c r="B21" s="50">
        <v>69.034632999999999</v>
      </c>
      <c r="C21" s="51">
        <f>B21*$C$25/$B$25</f>
        <v>0.1422382141044467</v>
      </c>
      <c r="D21" s="47">
        <f>B21/1</f>
        <v>69.034632999999999</v>
      </c>
      <c r="E21" s="52">
        <f>D21*$E$25/$D$25</f>
        <v>50.166146130636648</v>
      </c>
      <c r="F21" s="138">
        <f>D21/$G$9</f>
        <v>28.990008923603458</v>
      </c>
      <c r="G21" s="6"/>
    </row>
    <row r="22" spans="1:7" s="7" customFormat="1" ht="20.100000000000001" customHeight="1" x14ac:dyDescent="0.25">
      <c r="A22" s="35" t="s">
        <v>44</v>
      </c>
      <c r="B22" s="50">
        <v>85.760413999999997</v>
      </c>
      <c r="C22" s="135">
        <f t="shared" ref="C22:C24" si="3">B22*$C$25/$B$25</f>
        <v>0.17669983308548895</v>
      </c>
      <c r="D22" s="154">
        <f>B22/2</f>
        <v>42.880206999999999</v>
      </c>
      <c r="E22" s="137">
        <f t="shared" ref="E22:E24" si="4">D22*$E$25/$D$25</f>
        <v>31.160225483837198</v>
      </c>
      <c r="F22" s="140">
        <f t="shared" ref="F22:F24" si="5">D22/$G$9</f>
        <v>18.006868865022625</v>
      </c>
      <c r="G22" s="6"/>
    </row>
    <row r="23" spans="1:7" s="7" customFormat="1" ht="20.100000000000001" customHeight="1" x14ac:dyDescent="0.25">
      <c r="A23" s="35" t="s">
        <v>36</v>
      </c>
      <c r="B23" s="50">
        <v>84.003929999999997</v>
      </c>
      <c r="C23" s="135">
        <f t="shared" si="3"/>
        <v>0.17308079237496565</v>
      </c>
      <c r="D23" s="54">
        <f>B23/5</f>
        <v>16.800785999999999</v>
      </c>
      <c r="E23" s="137">
        <f t="shared" si="4"/>
        <v>12.2088095345644</v>
      </c>
      <c r="F23" s="140">
        <f t="shared" si="5"/>
        <v>7.0552259771345778</v>
      </c>
      <c r="G23" s="6"/>
    </row>
    <row r="24" spans="1:7" s="7" customFormat="1" ht="20.100000000000001" customHeight="1" x14ac:dyDescent="0.25">
      <c r="A24" s="37" t="s">
        <v>37</v>
      </c>
      <c r="B24" s="50">
        <v>88.963660000000004</v>
      </c>
      <c r="C24" s="62">
        <f t="shared" si="3"/>
        <v>0.18329976663445438</v>
      </c>
      <c r="D24" s="47">
        <f>B24/10</f>
        <v>8.8963660000000004</v>
      </c>
      <c r="E24" s="136">
        <f t="shared" si="4"/>
        <v>6.4648188509617688</v>
      </c>
      <c r="F24" s="146">
        <f t="shared" si="5"/>
        <v>3.7358890533631488</v>
      </c>
      <c r="G24" s="6"/>
    </row>
    <row r="25" spans="1:7" s="65" customFormat="1" ht="20.100000000000001" customHeight="1" x14ac:dyDescent="0.25">
      <c r="A25" s="68" t="s">
        <v>29</v>
      </c>
      <c r="B25" s="69">
        <f>SUM(B21:B24)</f>
        <v>327.76263700000004</v>
      </c>
      <c r="C25" s="70">
        <f>B25/($B$18+$B$25+$B$31)*100</f>
        <v>0.6753186061993558</v>
      </c>
      <c r="D25" s="71">
        <f>SUM(D21:D24)</f>
        <v>137.61199199999999</v>
      </c>
      <c r="E25" s="72">
        <v>100</v>
      </c>
      <c r="F25" s="73">
        <f>SUM(F21:F24)</f>
        <v>57.787992819123801</v>
      </c>
      <c r="G25" s="64"/>
    </row>
    <row r="26" spans="1:7" s="7" customFormat="1" ht="20.100000000000001" customHeight="1" x14ac:dyDescent="0.25">
      <c r="A26" s="49" t="s">
        <v>45</v>
      </c>
      <c r="B26" s="50">
        <v>0.71019900000000002</v>
      </c>
      <c r="C26" s="55">
        <f>B26*$C$31/$B$31</f>
        <v>1.4632863684342894E-3</v>
      </c>
      <c r="D26" s="54">
        <f>B26/0.01</f>
        <v>71.019900000000007</v>
      </c>
      <c r="E26" s="52">
        <f>D26*$E$31/$D$31</f>
        <v>7.2385930656060262</v>
      </c>
      <c r="F26" s="138">
        <f>D26/$G$9</f>
        <v>29.823690592422288</v>
      </c>
      <c r="G26" s="6"/>
    </row>
    <row r="27" spans="1:7" s="7" customFormat="1" ht="20.100000000000001" customHeight="1" x14ac:dyDescent="0.25">
      <c r="A27" s="53" t="s">
        <v>46</v>
      </c>
      <c r="B27" s="50">
        <v>12.295590000000001</v>
      </c>
      <c r="C27" s="132">
        <f t="shared" ref="C27:C30" si="6">B27*$C$31/$B$31</f>
        <v>2.5333701172286876E-2</v>
      </c>
      <c r="D27" s="54">
        <f>B27/0.05</f>
        <v>245.9118</v>
      </c>
      <c r="E27" s="137">
        <f t="shared" ref="E27:E30" si="7">D27*$E$31/$D$31</f>
        <v>25.06417849406569</v>
      </c>
      <c r="F27" s="140">
        <f t="shared" ref="F27:F30" si="8">D27/$G$9</f>
        <v>103.26679474662215</v>
      </c>
      <c r="G27" s="6"/>
    </row>
    <row r="28" spans="1:7" s="7" customFormat="1" ht="20.100000000000001" customHeight="1" x14ac:dyDescent="0.25">
      <c r="A28" s="53" t="s">
        <v>47</v>
      </c>
      <c r="B28" s="50">
        <v>30.618798999999999</v>
      </c>
      <c r="C28" s="132">
        <f t="shared" si="6"/>
        <v>6.3086643595005709E-2</v>
      </c>
      <c r="D28" s="54">
        <f>B28/0.1</f>
        <v>306.18798999999996</v>
      </c>
      <c r="E28" s="137">
        <f t="shared" si="7"/>
        <v>31.207735595035288</v>
      </c>
      <c r="F28" s="140">
        <f t="shared" si="8"/>
        <v>128.57883321260221</v>
      </c>
      <c r="G28" s="6"/>
    </row>
    <row r="29" spans="1:7" s="7" customFormat="1" ht="20.100000000000001" customHeight="1" x14ac:dyDescent="0.25">
      <c r="A29" s="53" t="s">
        <v>48</v>
      </c>
      <c r="B29" s="50">
        <v>78.171704000000005</v>
      </c>
      <c r="C29" s="132">
        <f t="shared" si="6"/>
        <v>0.16106413675671219</v>
      </c>
      <c r="D29" s="54">
        <f>B29/0.25</f>
        <v>312.68681600000002</v>
      </c>
      <c r="E29" s="137">
        <f t="shared" si="7"/>
        <v>31.870118347167871</v>
      </c>
      <c r="F29" s="140">
        <f t="shared" si="8"/>
        <v>131.30791303161055</v>
      </c>
      <c r="G29" s="6"/>
    </row>
    <row r="30" spans="1:7" s="7" customFormat="1" ht="20.100000000000001" customHeight="1" x14ac:dyDescent="0.25">
      <c r="A30" s="61" t="s">
        <v>49</v>
      </c>
      <c r="B30" s="56">
        <v>22.661000000000001</v>
      </c>
      <c r="C30" s="46">
        <f t="shared" si="6"/>
        <v>4.6690480266924392E-2</v>
      </c>
      <c r="D30" s="54">
        <f>B30/0.5</f>
        <v>45.322000000000003</v>
      </c>
      <c r="E30" s="141">
        <f t="shared" si="7"/>
        <v>4.6193744981251221</v>
      </c>
      <c r="F30" s="146">
        <f t="shared" si="8"/>
        <v>19.032261451082906</v>
      </c>
      <c r="G30" s="6"/>
    </row>
    <row r="31" spans="1:7" s="67" customFormat="1" ht="20.100000000000001" customHeight="1" x14ac:dyDescent="0.25">
      <c r="A31" s="95" t="s">
        <v>29</v>
      </c>
      <c r="B31" s="81">
        <f>SUM(B26:B30)</f>
        <v>144.457292</v>
      </c>
      <c r="C31" s="70">
        <f>B31/($B$18+$B$25+$B$31)*100</f>
        <v>0.29763824815936341</v>
      </c>
      <c r="D31" s="82">
        <f>SUM(D26:D30)</f>
        <v>981.12850600000002</v>
      </c>
      <c r="E31" s="96">
        <v>100</v>
      </c>
      <c r="F31" s="97">
        <f>SUM(F26:F30)</f>
        <v>412.0094930343401</v>
      </c>
      <c r="G31" s="66"/>
    </row>
    <row r="32" spans="1:7" s="67" customFormat="1" ht="30" customHeight="1" x14ac:dyDescent="0.25">
      <c r="A32" s="63" t="s">
        <v>31</v>
      </c>
      <c r="B32" s="85">
        <v>8.2518899999999995</v>
      </c>
      <c r="C32" s="86"/>
      <c r="D32" s="87">
        <v>0.130244</v>
      </c>
      <c r="E32" s="88"/>
      <c r="F32" s="98"/>
      <c r="G32" s="66"/>
    </row>
    <row r="33" spans="1:7" s="65" customFormat="1" ht="21.75" customHeight="1" thickBot="1" x14ac:dyDescent="0.3">
      <c r="A33" s="99" t="s">
        <v>29</v>
      </c>
      <c r="B33" s="121">
        <f>B18+B19+B25+B31+B32</f>
        <v>48552.149855000003</v>
      </c>
      <c r="C33" s="119">
        <v>100</v>
      </c>
      <c r="D33" s="121"/>
      <c r="E33" s="120"/>
      <c r="F33" s="142"/>
      <c r="G33" s="64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abSelected="1" zoomScaleNormal="100" workbookViewId="0">
      <selection activeCell="A2" sqref="A2:F2"/>
    </sheetView>
  </sheetViews>
  <sheetFormatPr defaultColWidth="9.140625" defaultRowHeight="15" x14ac:dyDescent="0.2"/>
  <cols>
    <col min="1" max="1" width="15.7109375" style="5" customWidth="1"/>
    <col min="2" max="2" width="24.7109375" style="5" customWidth="1"/>
    <col min="3" max="3" width="8.7109375" style="5" customWidth="1"/>
    <col min="4" max="4" width="24.7109375" style="5" customWidth="1"/>
    <col min="5" max="5" width="8.7109375" style="5" customWidth="1"/>
    <col min="6" max="6" width="24.7109375" style="5" customWidth="1"/>
    <col min="7" max="7" width="9.7109375" style="5" bestFit="1" customWidth="1"/>
    <col min="8" max="8" width="19.5703125" style="4" bestFit="1" customWidth="1"/>
    <col min="9" max="14" width="15.5703125" style="4" bestFit="1" customWidth="1"/>
    <col min="15" max="15" width="19.5703125" style="4" bestFit="1" customWidth="1"/>
    <col min="16" max="16" width="7.85546875" style="4" bestFit="1" customWidth="1"/>
    <col min="17" max="16384" width="9.140625" style="4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s="15" customFormat="1" ht="20.100000000000001" customHeight="1" x14ac:dyDescent="0.25">
      <c r="A2" s="161" t="s">
        <v>34</v>
      </c>
      <c r="B2" s="162"/>
      <c r="C2" s="162"/>
      <c r="D2" s="162"/>
      <c r="E2" s="162"/>
      <c r="F2" s="162"/>
      <c r="G2" s="14"/>
    </row>
    <row r="3" spans="1:7" s="15" customFormat="1" ht="20.100000000000001" customHeight="1" x14ac:dyDescent="0.25">
      <c r="A3" s="161" t="s">
        <v>67</v>
      </c>
      <c r="B3" s="162"/>
      <c r="C3" s="162"/>
      <c r="D3" s="162"/>
      <c r="E3" s="162"/>
      <c r="F3" s="162"/>
      <c r="G3" s="14"/>
    </row>
    <row r="4" spans="1:7" s="15" customFormat="1" ht="20.100000000000001" customHeight="1" thickBot="1" x14ac:dyDescent="0.3">
      <c r="A4" s="16"/>
      <c r="B4" s="16"/>
      <c r="C4" s="17">
        <f>SUM(C9:C17)</f>
        <v>99.027043145641287</v>
      </c>
      <c r="D4" s="16"/>
      <c r="E4" s="16"/>
      <c r="F4" s="16"/>
      <c r="G4" s="14"/>
    </row>
    <row r="5" spans="1:7" s="15" customFormat="1" ht="16.5" customHeight="1" x14ac:dyDescent="0.25">
      <c r="A5" s="163" t="s">
        <v>10</v>
      </c>
      <c r="B5" s="166" t="s">
        <v>22</v>
      </c>
      <c r="C5" s="169" t="s">
        <v>11</v>
      </c>
      <c r="D5" s="166" t="s">
        <v>23</v>
      </c>
      <c r="E5" s="169" t="s">
        <v>11</v>
      </c>
      <c r="F5" s="163" t="s">
        <v>27</v>
      </c>
      <c r="G5" s="14"/>
    </row>
    <row r="6" spans="1:7" s="15" customFormat="1" ht="15.75" customHeight="1" x14ac:dyDescent="0.25">
      <c r="A6" s="164"/>
      <c r="B6" s="167"/>
      <c r="C6" s="170"/>
      <c r="D6" s="198"/>
      <c r="E6" s="170"/>
      <c r="F6" s="203"/>
      <c r="G6" s="14"/>
    </row>
    <row r="7" spans="1:7" s="15" customFormat="1" ht="18" customHeight="1" x14ac:dyDescent="0.25">
      <c r="A7" s="165"/>
      <c r="B7" s="168"/>
      <c r="C7" s="171"/>
      <c r="D7" s="199"/>
      <c r="E7" s="171"/>
      <c r="F7" s="204"/>
      <c r="G7" s="14"/>
    </row>
    <row r="8" spans="1:7" s="19" customFormat="1" ht="20.100000000000001" customHeight="1" x14ac:dyDescent="0.2">
      <c r="A8" s="158" t="s">
        <v>12</v>
      </c>
      <c r="B8" s="159"/>
      <c r="C8" s="159"/>
      <c r="D8" s="159"/>
      <c r="E8" s="159"/>
      <c r="F8" s="160"/>
      <c r="G8" s="18"/>
    </row>
    <row r="9" spans="1:7" s="15" customFormat="1" ht="20.100000000000001" customHeight="1" x14ac:dyDescent="0.2">
      <c r="A9" s="20" t="s">
        <v>50</v>
      </c>
      <c r="B9" s="39">
        <v>75.827720999999997</v>
      </c>
      <c r="C9" s="21">
        <f>B9*$C$18/$B$18</f>
        <v>0.15623461943587433</v>
      </c>
      <c r="D9" s="22">
        <f>B9/1</f>
        <v>75.827720999999997</v>
      </c>
      <c r="E9" s="23">
        <f>D9*$E$18/$D$18</f>
        <v>20.359853054204134</v>
      </c>
      <c r="F9" s="24">
        <f>D9/$G$9</f>
        <v>31.842659443797046</v>
      </c>
      <c r="G9" s="126">
        <v>2.3813249999999999</v>
      </c>
    </row>
    <row r="10" spans="1:7" s="15" customFormat="1" ht="20.100000000000001" customHeight="1" x14ac:dyDescent="0.25">
      <c r="A10" s="25" t="s">
        <v>51</v>
      </c>
      <c r="B10" s="44">
        <v>58.860664999999997</v>
      </c>
      <c r="C10" s="127">
        <f t="shared" ref="C10:C17" si="0">B10*$C$18/$B$18</f>
        <v>0.12127588004415281</v>
      </c>
      <c r="D10" s="26">
        <f>B10/5</f>
        <v>11.772133</v>
      </c>
      <c r="E10" s="27">
        <f t="shared" ref="E10:E17" si="1">D10*$E$18/$D$18</f>
        <v>3.1608347825005487</v>
      </c>
      <c r="F10" s="128">
        <f t="shared" ref="F10:F17" si="2">D10/$G$9</f>
        <v>4.9435221987758915</v>
      </c>
      <c r="G10" s="14"/>
    </row>
    <row r="11" spans="1:7" s="15" customFormat="1" ht="20.100000000000001" customHeight="1" x14ac:dyDescent="0.25">
      <c r="A11" s="25" t="s">
        <v>52</v>
      </c>
      <c r="B11" s="44">
        <v>159.19065000000001</v>
      </c>
      <c r="C11" s="127">
        <f t="shared" si="0"/>
        <v>0.32799470025611699</v>
      </c>
      <c r="D11" s="26">
        <f>B11/10</f>
        <v>15.919065</v>
      </c>
      <c r="E11" s="27">
        <f t="shared" si="1"/>
        <v>4.2742920384001009</v>
      </c>
      <c r="F11" s="128">
        <f t="shared" si="2"/>
        <v>6.6849611035872885</v>
      </c>
      <c r="G11" s="14"/>
    </row>
    <row r="12" spans="1:7" s="15" customFormat="1" ht="20.100000000000001" customHeight="1" x14ac:dyDescent="0.25">
      <c r="A12" s="25" t="s">
        <v>53</v>
      </c>
      <c r="B12" s="44">
        <v>284.88549999999998</v>
      </c>
      <c r="C12" s="127">
        <f t="shared" si="0"/>
        <v>0.58697501505153726</v>
      </c>
      <c r="D12" s="26">
        <f>B12/20</f>
        <v>14.244274999999998</v>
      </c>
      <c r="E12" s="27">
        <f t="shared" si="1"/>
        <v>3.8246084946120629</v>
      </c>
      <c r="F12" s="128">
        <f t="shared" si="2"/>
        <v>5.9816593703085461</v>
      </c>
      <c r="G12" s="14"/>
    </row>
    <row r="13" spans="1:7" s="15" customFormat="1" ht="20.100000000000001" customHeight="1" x14ac:dyDescent="0.25">
      <c r="A13" s="25" t="s">
        <v>54</v>
      </c>
      <c r="B13" s="44">
        <v>2442.3744000000002</v>
      </c>
      <c r="C13" s="127">
        <f t="shared" si="0"/>
        <v>5.0322419014007016</v>
      </c>
      <c r="D13" s="26">
        <f>B13/50</f>
        <v>48.847488000000006</v>
      </c>
      <c r="E13" s="27">
        <f t="shared" si="1"/>
        <v>13.115621366848144</v>
      </c>
      <c r="F13" s="128">
        <f t="shared" si="2"/>
        <v>20.512734717016791</v>
      </c>
      <c r="G13" s="14"/>
    </row>
    <row r="14" spans="1:7" s="15" customFormat="1" ht="20.100000000000001" customHeight="1" x14ac:dyDescent="0.25">
      <c r="A14" s="25" t="s">
        <v>55</v>
      </c>
      <c r="B14" s="44">
        <v>6818.1786000000002</v>
      </c>
      <c r="C14" s="127">
        <f t="shared" si="0"/>
        <v>14.048101733359788</v>
      </c>
      <c r="D14" s="26">
        <f>B14/100</f>
        <v>68.181786000000002</v>
      </c>
      <c r="E14" s="27">
        <f t="shared" si="1"/>
        <v>18.306908418534597</v>
      </c>
      <c r="F14" s="128">
        <f t="shared" si="2"/>
        <v>28.631869232465121</v>
      </c>
      <c r="G14" s="14"/>
    </row>
    <row r="15" spans="1:7" s="15" customFormat="1" ht="20.100000000000001" customHeight="1" x14ac:dyDescent="0.25">
      <c r="A15" s="25" t="s">
        <v>56</v>
      </c>
      <c r="B15" s="44">
        <v>22922.98</v>
      </c>
      <c r="C15" s="127">
        <f t="shared" si="0"/>
        <v>47.23026103654307</v>
      </c>
      <c r="D15" s="26">
        <f>B15/200</f>
        <v>114.61489999999999</v>
      </c>
      <c r="E15" s="27">
        <f t="shared" si="1"/>
        <v>30.774266865046638</v>
      </c>
      <c r="F15" s="128">
        <f t="shared" si="2"/>
        <v>48.130725541452762</v>
      </c>
      <c r="G15" s="14"/>
    </row>
    <row r="16" spans="1:7" s="15" customFormat="1" ht="20.100000000000001" customHeight="1" x14ac:dyDescent="0.25">
      <c r="A16" s="25" t="s">
        <v>57</v>
      </c>
      <c r="B16" s="44">
        <v>7730.0974999999999</v>
      </c>
      <c r="C16" s="127">
        <f t="shared" si="0"/>
        <v>15.927009610571092</v>
      </c>
      <c r="D16" s="26">
        <f>B16/500</f>
        <v>15.460195000000001</v>
      </c>
      <c r="E16" s="27">
        <f t="shared" si="1"/>
        <v>4.1510847779447504</v>
      </c>
      <c r="F16" s="128">
        <f t="shared" si="2"/>
        <v>6.4922658603928491</v>
      </c>
      <c r="G16" s="14"/>
    </row>
    <row r="17" spans="1:7" s="15" customFormat="1" ht="20.100000000000001" customHeight="1" x14ac:dyDescent="0.25">
      <c r="A17" s="28" t="s">
        <v>58</v>
      </c>
      <c r="B17" s="45">
        <v>7569.9040000000005</v>
      </c>
      <c r="C17" s="29">
        <f t="shared" si="0"/>
        <v>15.596948648978952</v>
      </c>
      <c r="D17" s="30">
        <f>B17/1000</f>
        <v>7.5699040000000002</v>
      </c>
      <c r="E17" s="31">
        <f t="shared" si="1"/>
        <v>2.0325302019090365</v>
      </c>
      <c r="F17" s="32">
        <f t="shared" si="2"/>
        <v>3.1788621880675678</v>
      </c>
      <c r="G17" s="14"/>
    </row>
    <row r="18" spans="1:7" s="101" customFormat="1" ht="20.100000000000001" customHeight="1" x14ac:dyDescent="0.25">
      <c r="A18" s="68" t="s">
        <v>13</v>
      </c>
      <c r="B18" s="104">
        <f>SUM(B9:B17)</f>
        <v>48062.299036000004</v>
      </c>
      <c r="C18" s="105">
        <f>B18/($B$18+$B$25+$B$31)*100</f>
        <v>99.027043145641287</v>
      </c>
      <c r="D18" s="106">
        <f>SUM(D9:D17)</f>
        <v>372.43746699999997</v>
      </c>
      <c r="E18" s="107">
        <v>100</v>
      </c>
      <c r="F18" s="108">
        <f>SUM(F9:F17)</f>
        <v>156.39925965586386</v>
      </c>
      <c r="G18" s="100"/>
    </row>
    <row r="19" spans="1:7" s="101" customFormat="1" ht="30" customHeight="1" x14ac:dyDescent="0.25">
      <c r="A19" s="74" t="s">
        <v>14</v>
      </c>
      <c r="B19" s="75">
        <v>9.3789999999999996</v>
      </c>
      <c r="C19" s="109"/>
      <c r="D19" s="110">
        <f>SUM(B19/200)</f>
        <v>4.6894999999999999E-2</v>
      </c>
      <c r="E19" s="111"/>
      <c r="F19" s="112"/>
      <c r="G19" s="100"/>
    </row>
    <row r="20" spans="1:7" s="15" customFormat="1" ht="20.100000000000001" customHeight="1" x14ac:dyDescent="0.25">
      <c r="A20" s="158" t="s">
        <v>15</v>
      </c>
      <c r="B20" s="159"/>
      <c r="C20" s="159"/>
      <c r="D20" s="159"/>
      <c r="E20" s="159"/>
      <c r="F20" s="160"/>
      <c r="G20" s="14"/>
    </row>
    <row r="21" spans="1:7" s="15" customFormat="1" ht="20.100000000000001" customHeight="1" x14ac:dyDescent="0.25">
      <c r="A21" s="33" t="s">
        <v>50</v>
      </c>
      <c r="B21" s="50">
        <v>69.034632999999999</v>
      </c>
      <c r="C21" s="34">
        <f>B21*$C$25/$B$25</f>
        <v>0.1422382141044467</v>
      </c>
      <c r="D21" s="47">
        <f>B21/1</f>
        <v>69.034632999999999</v>
      </c>
      <c r="E21" s="31">
        <f>D21*$E$25/$D$25</f>
        <v>50.166146130636648</v>
      </c>
      <c r="F21" s="130">
        <f>D21/$G$9</f>
        <v>28.990008923603458</v>
      </c>
      <c r="G21" s="14"/>
    </row>
    <row r="22" spans="1:7" s="15" customFormat="1" ht="20.100000000000001" customHeight="1" x14ac:dyDescent="0.25">
      <c r="A22" s="35" t="s">
        <v>59</v>
      </c>
      <c r="B22" s="50">
        <v>85.760413999999997</v>
      </c>
      <c r="C22" s="129">
        <f t="shared" ref="C22:C24" si="3">B22*$C$25/$B$25</f>
        <v>0.17669983308548895</v>
      </c>
      <c r="D22" s="155">
        <f>B22/2</f>
        <v>42.880206999999999</v>
      </c>
      <c r="E22" s="27">
        <f t="shared" ref="E22:E24" si="4">D22*$E$25/$D$25</f>
        <v>31.160225483837198</v>
      </c>
      <c r="F22" s="130">
        <f t="shared" ref="F22:F24" si="5">D22/$G$9</f>
        <v>18.006868865022625</v>
      </c>
      <c r="G22" s="14"/>
    </row>
    <row r="23" spans="1:7" s="15" customFormat="1" ht="20.100000000000001" customHeight="1" x14ac:dyDescent="0.25">
      <c r="A23" s="35" t="s">
        <v>51</v>
      </c>
      <c r="B23" s="50">
        <v>84.003929999999997</v>
      </c>
      <c r="C23" s="129">
        <f t="shared" si="3"/>
        <v>0.17308079237496565</v>
      </c>
      <c r="D23" s="54">
        <f>B23/5</f>
        <v>16.800785999999999</v>
      </c>
      <c r="E23" s="27">
        <f t="shared" si="4"/>
        <v>12.2088095345644</v>
      </c>
      <c r="F23" s="130">
        <f t="shared" si="5"/>
        <v>7.0552259771345778</v>
      </c>
      <c r="G23" s="14"/>
    </row>
    <row r="24" spans="1:7" s="15" customFormat="1" ht="20.100000000000001" customHeight="1" x14ac:dyDescent="0.25">
      <c r="A24" s="35" t="s">
        <v>52</v>
      </c>
      <c r="B24" s="50">
        <v>88.963660000000004</v>
      </c>
      <c r="C24" s="38">
        <f t="shared" si="3"/>
        <v>0.18329976663445438</v>
      </c>
      <c r="D24" s="47">
        <f>B24/10</f>
        <v>8.8963660000000004</v>
      </c>
      <c r="E24" s="31">
        <f t="shared" si="4"/>
        <v>6.4648188509617688</v>
      </c>
      <c r="F24" s="130">
        <f t="shared" si="5"/>
        <v>3.7358890533631488</v>
      </c>
      <c r="G24" s="14"/>
    </row>
    <row r="25" spans="1:7" s="101" customFormat="1" ht="20.100000000000001" customHeight="1" x14ac:dyDescent="0.25">
      <c r="A25" s="80" t="s">
        <v>13</v>
      </c>
      <c r="B25" s="104">
        <f>SUM(B21:B24)</f>
        <v>327.76263700000004</v>
      </c>
      <c r="C25" s="105">
        <f>B25/($B$18+$B$25+$B$31)*100</f>
        <v>0.6753186061993558</v>
      </c>
      <c r="D25" s="106">
        <f>SUM(D21:D24)</f>
        <v>137.61199199999999</v>
      </c>
      <c r="E25" s="107">
        <v>100</v>
      </c>
      <c r="F25" s="108">
        <f>SUM(F21:F24)</f>
        <v>57.787992819123801</v>
      </c>
      <c r="G25" s="100"/>
    </row>
    <row r="26" spans="1:7" s="15" customFormat="1" ht="20.100000000000001" customHeight="1" x14ac:dyDescent="0.25">
      <c r="A26" s="33" t="s">
        <v>60</v>
      </c>
      <c r="B26" s="50">
        <v>0.71019900000000002</v>
      </c>
      <c r="C26" s="36">
        <f>B26*$C$31/$B$31</f>
        <v>1.4632863684342894E-3</v>
      </c>
      <c r="D26" s="54">
        <f>B26/0.01</f>
        <v>71.019900000000007</v>
      </c>
      <c r="E26" s="31">
        <f>D26*$E$31/$D$31</f>
        <v>7.2385930656060262</v>
      </c>
      <c r="F26" s="130">
        <f>D26/$G$9</f>
        <v>29.823690592422288</v>
      </c>
      <c r="G26" s="14"/>
    </row>
    <row r="27" spans="1:7" s="15" customFormat="1" ht="20.100000000000001" customHeight="1" x14ac:dyDescent="0.25">
      <c r="A27" s="35" t="s">
        <v>61</v>
      </c>
      <c r="B27" s="50">
        <v>12.295590000000001</v>
      </c>
      <c r="C27" s="129">
        <f t="shared" ref="C27:C30" si="6">B27*$C$31/$B$31</f>
        <v>2.5333701172286876E-2</v>
      </c>
      <c r="D27" s="54">
        <f>B27/0.05</f>
        <v>245.9118</v>
      </c>
      <c r="E27" s="27">
        <f t="shared" ref="E27:E30" si="7">D27*$E$31/$D$31</f>
        <v>25.06417849406569</v>
      </c>
      <c r="F27" s="131">
        <f t="shared" ref="F27:F30" si="8">D27/$G$9</f>
        <v>103.26679474662215</v>
      </c>
      <c r="G27" s="14"/>
    </row>
    <row r="28" spans="1:7" s="15" customFormat="1" ht="20.100000000000001" customHeight="1" x14ac:dyDescent="0.25">
      <c r="A28" s="35" t="s">
        <v>62</v>
      </c>
      <c r="B28" s="50">
        <v>30.618798999999999</v>
      </c>
      <c r="C28" s="129">
        <f t="shared" si="6"/>
        <v>6.3086643595005709E-2</v>
      </c>
      <c r="D28" s="54">
        <f>B28/0.1</f>
        <v>306.18798999999996</v>
      </c>
      <c r="E28" s="27">
        <f t="shared" si="7"/>
        <v>31.207735595035288</v>
      </c>
      <c r="F28" s="131">
        <f t="shared" si="8"/>
        <v>128.57883321260221</v>
      </c>
      <c r="G28" s="14"/>
    </row>
    <row r="29" spans="1:7" s="15" customFormat="1" ht="20.100000000000001" customHeight="1" x14ac:dyDescent="0.25">
      <c r="A29" s="35" t="s">
        <v>63</v>
      </c>
      <c r="B29" s="50">
        <v>78.171704000000005</v>
      </c>
      <c r="C29" s="129">
        <f t="shared" si="6"/>
        <v>0.16106413675671219</v>
      </c>
      <c r="D29" s="54">
        <f>B29/0.25</f>
        <v>312.68681600000002</v>
      </c>
      <c r="E29" s="27">
        <f t="shared" si="7"/>
        <v>31.870118347167871</v>
      </c>
      <c r="F29" s="131">
        <f t="shared" si="8"/>
        <v>131.30791303161055</v>
      </c>
      <c r="G29" s="14"/>
    </row>
    <row r="30" spans="1:7" s="15" customFormat="1" ht="20.100000000000001" customHeight="1" x14ac:dyDescent="0.25">
      <c r="A30" s="37" t="s">
        <v>64</v>
      </c>
      <c r="B30" s="56">
        <v>22.661000000000001</v>
      </c>
      <c r="C30" s="38">
        <f t="shared" si="6"/>
        <v>4.6690480266924392E-2</v>
      </c>
      <c r="D30" s="54">
        <f>B30/0.5</f>
        <v>45.322000000000003</v>
      </c>
      <c r="E30" s="31">
        <f t="shared" si="7"/>
        <v>4.6193744981251221</v>
      </c>
      <c r="F30" s="147">
        <f t="shared" si="8"/>
        <v>19.032261451082906</v>
      </c>
      <c r="G30" s="14"/>
    </row>
    <row r="31" spans="1:7" s="103" customFormat="1" ht="20.100000000000001" customHeight="1" x14ac:dyDescent="0.25">
      <c r="A31" s="80" t="s">
        <v>13</v>
      </c>
      <c r="B31" s="113">
        <f>SUM(B26:B30)</f>
        <v>144.457292</v>
      </c>
      <c r="C31" s="105">
        <f>B31/($B$18+$B$25+$B$31)*100</f>
        <v>0.29763824815936341</v>
      </c>
      <c r="D31" s="114">
        <f>SUM(D26:D30)</f>
        <v>981.12850600000002</v>
      </c>
      <c r="E31" s="107">
        <v>100</v>
      </c>
      <c r="F31" s="115">
        <f>SUM(F26:F30)</f>
        <v>412.0094930343401</v>
      </c>
      <c r="G31" s="102"/>
    </row>
    <row r="32" spans="1:7" s="103" customFormat="1" ht="39.75" customHeight="1" x14ac:dyDescent="0.25">
      <c r="A32" s="84" t="s">
        <v>20</v>
      </c>
      <c r="B32" s="85">
        <v>8.2518899999999995</v>
      </c>
      <c r="C32" s="116"/>
      <c r="D32" s="87">
        <v>0.130244</v>
      </c>
      <c r="E32" s="117"/>
      <c r="F32" s="118"/>
      <c r="G32" s="102"/>
    </row>
    <row r="33" spans="1:7" s="101" customFormat="1" ht="21" customHeight="1" thickBot="1" x14ac:dyDescent="0.3">
      <c r="A33" s="90" t="s">
        <v>16</v>
      </c>
      <c r="B33" s="121">
        <f>B18+B19+B25+B31+B32</f>
        <v>48552.149855000003</v>
      </c>
      <c r="C33" s="124">
        <v>100</v>
      </c>
      <c r="D33" s="121"/>
      <c r="E33" s="125"/>
      <c r="F33" s="143"/>
      <c r="G33" s="100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topLeftCell="A13" workbookViewId="0">
      <selection activeCell="W46" sqref="W46"/>
    </sheetView>
  </sheetViews>
  <sheetFormatPr defaultRowHeight="12.75" x14ac:dyDescent="0.2"/>
  <sheetData/>
  <printOptions horizontalCentered="1"/>
  <pageMargins left="0.59055118110236227" right="0.19685039370078741" top="0.78740157480314965" bottom="0.39370078740157483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ac376891-a3bb-4a98-b00e-aa51f4bc5a61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0AE75302-B245-40C6-B565-358732AEE65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2024_rom</vt:lpstr>
      <vt:lpstr>2024_eng</vt:lpstr>
      <vt:lpstr>2024_rus</vt:lpstr>
      <vt:lpstr>Grafice</vt:lpstr>
      <vt:lpstr>'2024_eng'!Print_Area</vt:lpstr>
      <vt:lpstr>'2024_rom'!Print_Area</vt:lpstr>
      <vt:lpstr>'2024_rus'!Print_Area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I. Rogoja</cp:lastModifiedBy>
  <cp:lastPrinted>2021-03-03T09:23:14Z</cp:lastPrinted>
  <dcterms:created xsi:type="dcterms:W3CDTF">2020-02-26T13:54:24Z</dcterms:created>
  <dcterms:modified xsi:type="dcterms:W3CDTF">2025-07-15T08:37:24Z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ac376891-a3bb-4a98-b00e-aa51f4bc5a61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2025-03-10T10:22:48Z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560a5f34-97a7-44b5-95e2-172259561489</vt:lpwstr>
  </property>
  <property fmtid="{D5CDD505-2E9C-101B-9397-08002B2CF9AE}" pid="10" name="MSIP_Label_38962dcf-d39f-4edc-a396-338a56ba9170_ContentBits">
    <vt:lpwstr>0</vt:lpwstr>
  </property>
</Properties>
</file>